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kh\Downloads\"/>
    </mc:Choice>
  </mc:AlternateContent>
  <xr:revisionPtr revIDLastSave="0" documentId="13_ncr:1_{5490157A-73C2-49B2-A8EB-260E00BF21FC}" xr6:coauthVersionLast="47" xr6:coauthVersionMax="47" xr10:uidLastSave="{00000000-0000-0000-0000-000000000000}"/>
  <bookViews>
    <workbookView xWindow="-23040" yWindow="24" windowWidth="21600" windowHeight="11292" xr2:uid="{85CA1FEB-90AA-49B6-B902-0B83F7E2EE25}"/>
  </bookViews>
  <sheets>
    <sheet name="PACE Even Payment Amort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7" l="1"/>
  <c r="A16" i="7" s="1"/>
  <c r="A19" i="7" s="1"/>
  <c r="A22" i="7" s="1"/>
  <c r="A25" i="7" s="1"/>
  <c r="A28" i="7" s="1"/>
  <c r="A31" i="7" s="1"/>
  <c r="A34" i="7" s="1"/>
  <c r="A37" i="7" s="1"/>
  <c r="A40" i="7" s="1"/>
  <c r="A11" i="7"/>
  <c r="A12" i="7" s="1"/>
  <c r="A14" i="7" s="1"/>
  <c r="A15" i="7" s="1"/>
  <c r="A17" i="7" s="1"/>
  <c r="A18" i="7" s="1"/>
  <c r="A20" i="7" s="1"/>
  <c r="A21" i="7" s="1"/>
  <c r="A23" i="7" s="1"/>
  <c r="A24" i="7" s="1"/>
  <c r="A26" i="7" s="1"/>
  <c r="A27" i="7" s="1"/>
  <c r="A29" i="7" s="1"/>
  <c r="A30" i="7" s="1"/>
  <c r="A32" i="7" s="1"/>
  <c r="A33" i="7" s="1"/>
  <c r="A35" i="7" s="1"/>
  <c r="A36" i="7" s="1"/>
  <c r="A38" i="7" s="1"/>
  <c r="A39" i="7" s="1"/>
  <c r="A41" i="7" s="1"/>
  <c r="A42" i="7" s="1"/>
  <c r="A44" i="7" s="1"/>
  <c r="A45" i="7" s="1"/>
  <c r="A47" i="7" s="1"/>
  <c r="A48" i="7" s="1"/>
  <c r="A50" i="7" s="1"/>
  <c r="A51" i="7" s="1"/>
  <c r="A53" i="7" s="1"/>
  <c r="A54" i="7" s="1"/>
  <c r="A56" i="7" s="1"/>
  <c r="A57" i="7" s="1"/>
  <c r="A59" i="7" s="1"/>
  <c r="A60" i="7" s="1"/>
  <c r="A62" i="7" s="1"/>
  <c r="A63" i="7" s="1"/>
  <c r="A65" i="7" s="1"/>
  <c r="A66" i="7" s="1"/>
  <c r="A68" i="7" s="1"/>
  <c r="A69" i="7" s="1"/>
  <c r="A71" i="7" s="1"/>
  <c r="A72" i="7" s="1"/>
  <c r="A74" i="7" s="1"/>
  <c r="A75" i="7" s="1"/>
  <c r="A77" i="7" s="1"/>
  <c r="A78" i="7" s="1"/>
  <c r="A80" i="7" s="1"/>
  <c r="A81" i="7" s="1"/>
  <c r="A83" i="7" s="1"/>
  <c r="A84" i="7" s="1"/>
  <c r="A86" i="7" s="1"/>
  <c r="A87" i="7" s="1"/>
  <c r="A89" i="7" s="1"/>
  <c r="A90" i="7" s="1"/>
  <c r="A92" i="7" s="1"/>
  <c r="A93" i="7" s="1"/>
  <c r="A95" i="7" s="1"/>
  <c r="A96" i="7" s="1"/>
  <c r="A98" i="7" s="1"/>
  <c r="A99" i="7" s="1"/>
  <c r="E25" i="7" l="1"/>
  <c r="E27" i="7" s="1"/>
  <c r="E26" i="7" s="1"/>
  <c r="E31" i="7"/>
  <c r="E33" i="7" s="1"/>
  <c r="E32" i="7" s="1"/>
  <c r="E19" i="7"/>
  <c r="E21" i="7" s="1"/>
  <c r="E37" i="7"/>
  <c r="E39" i="7" s="1"/>
  <c r="E10" i="7"/>
  <c r="E12" i="7" s="1"/>
  <c r="E11" i="7" s="1"/>
  <c r="C10" i="7"/>
  <c r="H10" i="7" s="1"/>
  <c r="H11" i="7" s="1"/>
  <c r="B10" i="7"/>
  <c r="E38" i="7" l="1"/>
  <c r="H12" i="7"/>
  <c r="E20" i="7"/>
  <c r="B13" i="7"/>
  <c r="B11" i="7"/>
  <c r="B12" i="7" s="1"/>
  <c r="B14" i="7" s="1"/>
  <c r="B15" i="7" s="1"/>
  <c r="B17" i="7" s="1"/>
  <c r="B18" i="7" s="1"/>
  <c r="B20" i="7" s="1"/>
  <c r="B21" i="7" s="1"/>
  <c r="B23" i="7" s="1"/>
  <c r="B24" i="7" s="1"/>
  <c r="B26" i="7" s="1"/>
  <c r="B27" i="7" s="1"/>
  <c r="B29" i="7" s="1"/>
  <c r="B30" i="7" s="1"/>
  <c r="B32" i="7" s="1"/>
  <c r="B33" i="7" s="1"/>
  <c r="B35" i="7" s="1"/>
  <c r="B36" i="7" s="1"/>
  <c r="B38" i="7" s="1"/>
  <c r="B39" i="7" s="1"/>
  <c r="B41" i="7" s="1"/>
  <c r="B42" i="7" s="1"/>
  <c r="B44" i="7" s="1"/>
  <c r="B45" i="7" s="1"/>
  <c r="B47" i="7" s="1"/>
  <c r="B48" i="7" s="1"/>
  <c r="B50" i="7" s="1"/>
  <c r="B51" i="7" s="1"/>
  <c r="B53" i="7" s="1"/>
  <c r="B54" i="7" s="1"/>
  <c r="B56" i="7" s="1"/>
  <c r="B57" i="7" s="1"/>
  <c r="B59" i="7" s="1"/>
  <c r="B60" i="7" s="1"/>
  <c r="B62" i="7" s="1"/>
  <c r="B63" i="7" s="1"/>
  <c r="B65" i="7" s="1"/>
  <c r="B66" i="7" s="1"/>
  <c r="B68" i="7" s="1"/>
  <c r="B69" i="7" s="1"/>
  <c r="B71" i="7" s="1"/>
  <c r="B72" i="7" s="1"/>
  <c r="B74" i="7" s="1"/>
  <c r="B75" i="7" s="1"/>
  <c r="B77" i="7" s="1"/>
  <c r="B78" i="7" s="1"/>
  <c r="B80" i="7" s="1"/>
  <c r="B81" i="7" s="1"/>
  <c r="B83" i="7" s="1"/>
  <c r="B84" i="7" s="1"/>
  <c r="B86" i="7" s="1"/>
  <c r="B87" i="7" s="1"/>
  <c r="B89" i="7" s="1"/>
  <c r="B90" i="7" s="1"/>
  <c r="B92" i="7" s="1"/>
  <c r="B93" i="7" s="1"/>
  <c r="B95" i="7" s="1"/>
  <c r="B96" i="7" s="1"/>
  <c r="B98" i="7" s="1"/>
  <c r="B99" i="7" s="1"/>
  <c r="C11" i="7"/>
  <c r="D10" i="7"/>
  <c r="E13" i="7"/>
  <c r="E15" i="7" l="1"/>
  <c r="E14" i="7" s="1"/>
  <c r="D11" i="7"/>
  <c r="F11" i="7" s="1"/>
  <c r="F10" i="7"/>
  <c r="B16" i="7"/>
  <c r="E16" i="7"/>
  <c r="D12" i="7" l="1"/>
  <c r="F12" i="7" s="1"/>
  <c r="E18" i="7"/>
  <c r="E17" i="7" s="1"/>
  <c r="B19" i="7"/>
  <c r="G11" i="7"/>
  <c r="C12" i="7" s="1"/>
  <c r="B22" i="7" l="1"/>
  <c r="G12" i="7"/>
  <c r="C13" i="7" s="1"/>
  <c r="E22" i="7"/>
  <c r="E24" i="7" s="1"/>
  <c r="E23" i="7" s="1"/>
  <c r="C14" i="7" l="1"/>
  <c r="H13" i="7"/>
  <c r="H14" i="7" s="1"/>
  <c r="H15" i="7" s="1"/>
  <c r="B25" i="7"/>
  <c r="D13" i="7"/>
  <c r="D14" i="7" l="1"/>
  <c r="F14" i="7" s="1"/>
  <c r="B28" i="7"/>
  <c r="F13" i="7"/>
  <c r="E28" i="7"/>
  <c r="E30" i="7" s="1"/>
  <c r="E29" i="7" s="1"/>
  <c r="G14" i="7" l="1"/>
  <c r="C15" i="7" s="1"/>
  <c r="D15" i="7"/>
  <c r="F15" i="7" s="1"/>
  <c r="B31" i="7"/>
  <c r="G15" i="7" l="1"/>
  <c r="C16" i="7" s="1"/>
  <c r="C17" i="7" s="1"/>
  <c r="B34" i="7"/>
  <c r="E34" i="7"/>
  <c r="E36" i="7" s="1"/>
  <c r="E35" i="7" s="1"/>
  <c r="H16" i="7" l="1"/>
  <c r="H17" i="7" s="1"/>
  <c r="H18" i="7" s="1"/>
  <c r="B37" i="7"/>
  <c r="D16" i="7"/>
  <c r="D17" i="7" l="1"/>
  <c r="D18" i="7" s="1"/>
  <c r="F18" i="7" s="1"/>
  <c r="F16" i="7"/>
  <c r="B40" i="7"/>
  <c r="A43" i="7"/>
  <c r="E43" i="7" s="1"/>
  <c r="E40" i="7"/>
  <c r="E42" i="7" s="1"/>
  <c r="E41" i="7" s="1"/>
  <c r="E45" i="7" l="1"/>
  <c r="E44" i="7" s="1"/>
  <c r="F17" i="7"/>
  <c r="G17" i="7"/>
  <c r="C18" i="7" s="1"/>
  <c r="G18" i="7" s="1"/>
  <c r="C19" i="7" s="1"/>
  <c r="C20" i="7" s="1"/>
  <c r="B43" i="7"/>
  <c r="A46" i="7"/>
  <c r="H19" i="7" l="1"/>
  <c r="H20" i="7" s="1"/>
  <c r="H21" i="7" s="1"/>
  <c r="D19" i="7"/>
  <c r="B46" i="7"/>
  <c r="E46" i="7"/>
  <c r="E48" i="7" s="1"/>
  <c r="E47" i="7" s="1"/>
  <c r="A49" i="7"/>
  <c r="E49" i="7" s="1"/>
  <c r="E51" i="7" l="1"/>
  <c r="E50" i="7" s="1"/>
  <c r="D20" i="7"/>
  <c r="D21" i="7" s="1"/>
  <c r="F21" i="7" s="1"/>
  <c r="B49" i="7"/>
  <c r="F19" i="7"/>
  <c r="A52" i="7"/>
  <c r="F20" i="7" l="1"/>
  <c r="G20" i="7"/>
  <c r="C21" i="7" s="1"/>
  <c r="G21" i="7" s="1"/>
  <c r="B52" i="7"/>
  <c r="A55" i="7"/>
  <c r="E55" i="7" s="1"/>
  <c r="E52" i="7"/>
  <c r="E54" i="7" s="1"/>
  <c r="E53" i="7" s="1"/>
  <c r="E57" i="7" l="1"/>
  <c r="E56" i="7" s="1"/>
  <c r="B55" i="7"/>
  <c r="C22" i="7"/>
  <c r="C23" i="7" s="1"/>
  <c r="A58" i="7"/>
  <c r="H22" i="7" l="1"/>
  <c r="H23" i="7" s="1"/>
  <c r="H24" i="7" s="1"/>
  <c r="B58" i="7"/>
  <c r="D22" i="7"/>
  <c r="A61" i="7"/>
  <c r="E61" i="7" s="1"/>
  <c r="E58" i="7"/>
  <c r="E60" i="7" s="1"/>
  <c r="E59" i="7" s="1"/>
  <c r="E63" i="7" l="1"/>
  <c r="E62" i="7" s="1"/>
  <c r="D23" i="7"/>
  <c r="D24" i="7" s="1"/>
  <c r="F24" i="7" s="1"/>
  <c r="B61" i="7"/>
  <c r="F22" i="7"/>
  <c r="A64" i="7"/>
  <c r="F23" i="7" l="1"/>
  <c r="G23" i="7"/>
  <c r="C24" i="7" s="1"/>
  <c r="G24" i="7" s="1"/>
  <c r="B64" i="7"/>
  <c r="A67" i="7"/>
  <c r="E67" i="7" s="1"/>
  <c r="E64" i="7"/>
  <c r="E66" i="7" s="1"/>
  <c r="E65" i="7" s="1"/>
  <c r="E69" i="7" l="1"/>
  <c r="E68" i="7" s="1"/>
  <c r="B67" i="7"/>
  <c r="C25" i="7"/>
  <c r="C26" i="7" s="1"/>
  <c r="A70" i="7"/>
  <c r="B70" i="7" l="1"/>
  <c r="H25" i="7"/>
  <c r="H26" i="7" s="1"/>
  <c r="H27" i="7" s="1"/>
  <c r="D25" i="7"/>
  <c r="E70" i="7"/>
  <c r="E72" i="7" s="1"/>
  <c r="E71" i="7" s="1"/>
  <c r="A73" i="7"/>
  <c r="E73" i="7" s="1"/>
  <c r="E75" i="7" l="1"/>
  <c r="E74" i="7" s="1"/>
  <c r="D26" i="7"/>
  <c r="D27" i="7" s="1"/>
  <c r="F27" i="7" s="1"/>
  <c r="B73" i="7"/>
  <c r="F25" i="7"/>
  <c r="A76" i="7"/>
  <c r="B76" i="7" l="1"/>
  <c r="F26" i="7"/>
  <c r="G26" i="7"/>
  <c r="C27" i="7" s="1"/>
  <c r="G27" i="7" s="1"/>
  <c r="A79" i="7"/>
  <c r="E79" i="7" s="1"/>
  <c r="E76" i="7"/>
  <c r="E78" i="7" s="1"/>
  <c r="E77" i="7" s="1"/>
  <c r="E81" i="7" l="1"/>
  <c r="E80" i="7" s="1"/>
  <c r="B79" i="7"/>
  <c r="C28" i="7"/>
  <c r="C29" i="7" s="1"/>
  <c r="A82" i="7"/>
  <c r="B82" i="7" l="1"/>
  <c r="H28" i="7"/>
  <c r="H29" i="7" s="1"/>
  <c r="H30" i="7" s="1"/>
  <c r="D28" i="7"/>
  <c r="A85" i="7"/>
  <c r="E85" i="7" s="1"/>
  <c r="E82" i="7"/>
  <c r="E84" i="7" s="1"/>
  <c r="E83" i="7" s="1"/>
  <c r="E87" i="7" l="1"/>
  <c r="E86" i="7" s="1"/>
  <c r="D29" i="7"/>
  <c r="D30" i="7" s="1"/>
  <c r="F30" i="7" s="1"/>
  <c r="B85" i="7"/>
  <c r="F28" i="7"/>
  <c r="A88" i="7"/>
  <c r="B88" i="7" l="1"/>
  <c r="F29" i="7"/>
  <c r="G29" i="7"/>
  <c r="C30" i="7" s="1"/>
  <c r="G30" i="7" s="1"/>
  <c r="A91" i="7"/>
  <c r="E91" i="7" s="1"/>
  <c r="E88" i="7"/>
  <c r="E90" i="7" s="1"/>
  <c r="E89" i="7" s="1"/>
  <c r="E93" i="7" l="1"/>
  <c r="E92" i="7" s="1"/>
  <c r="B91" i="7"/>
  <c r="C31" i="7"/>
  <c r="C32" i="7" s="1"/>
  <c r="A94" i="7"/>
  <c r="B94" i="7" l="1"/>
  <c r="H31" i="7"/>
  <c r="H32" i="7" s="1"/>
  <c r="H33" i="7" s="1"/>
  <c r="D31" i="7"/>
  <c r="E94" i="7"/>
  <c r="E96" i="7" s="1"/>
  <c r="E95" i="7" s="1"/>
  <c r="A97" i="7"/>
  <c r="E97" i="7" s="1"/>
  <c r="E99" i="7" s="1"/>
  <c r="E98" i="7" s="1"/>
  <c r="D32" i="7" l="1"/>
  <c r="D33" i="7" s="1"/>
  <c r="F33" i="7" s="1"/>
  <c r="B97" i="7"/>
  <c r="F31" i="7"/>
  <c r="F32" i="7" l="1"/>
  <c r="G32" i="7"/>
  <c r="C33" i="7" s="1"/>
  <c r="G33" i="7" s="1"/>
  <c r="C34" i="7" s="1"/>
  <c r="C35" i="7" s="1"/>
  <c r="H34" i="7" l="1"/>
  <c r="H35" i="7" s="1"/>
  <c r="H36" i="7" s="1"/>
  <c r="D34" i="7"/>
  <c r="D35" i="7" l="1"/>
  <c r="D36" i="7" s="1"/>
  <c r="F36" i="7" s="1"/>
  <c r="F34" i="7"/>
  <c r="F35" i="7" l="1"/>
  <c r="G35" i="7"/>
  <c r="C36" i="7" s="1"/>
  <c r="G36" i="7" s="1"/>
  <c r="C37" i="7" l="1"/>
  <c r="C38" i="7" s="1"/>
  <c r="H37" i="7" l="1"/>
  <c r="H38" i="7" s="1"/>
  <c r="H39" i="7" s="1"/>
  <c r="D37" i="7"/>
  <c r="D38" i="7" l="1"/>
  <c r="D39" i="7" s="1"/>
  <c r="F39" i="7" s="1"/>
  <c r="F37" i="7"/>
  <c r="F38" i="7" l="1"/>
  <c r="G38" i="7"/>
  <c r="C39" i="7" s="1"/>
  <c r="G39" i="7" s="1"/>
  <c r="C40" i="7" l="1"/>
  <c r="H40" i="7" l="1"/>
  <c r="H41" i="7" s="1"/>
  <c r="H42" i="7" s="1"/>
  <c r="C41" i="7"/>
  <c r="D40" i="7"/>
  <c r="D41" i="7" l="1"/>
  <c r="D42" i="7" s="1"/>
  <c r="F42" i="7" s="1"/>
  <c r="F40" i="7"/>
  <c r="G40" i="7"/>
  <c r="G41" i="7" l="1"/>
  <c r="C42" i="7" s="1"/>
  <c r="G42" i="7" s="1"/>
  <c r="F41" i="7"/>
  <c r="C43" i="7" l="1"/>
  <c r="C44" i="7" s="1"/>
  <c r="H43" i="7" l="1"/>
  <c r="D43" i="7"/>
  <c r="H44" i="7" l="1"/>
  <c r="H45" i="7" s="1"/>
  <c r="D44" i="7"/>
  <c r="D45" i="7" s="1"/>
  <c r="F45" i="7" s="1"/>
  <c r="F43" i="7"/>
  <c r="G43" i="7"/>
  <c r="F44" i="7" l="1"/>
  <c r="G44" i="7"/>
  <c r="C45" i="7" s="1"/>
  <c r="G45" i="7" s="1"/>
  <c r="C46" i="7" l="1"/>
  <c r="C47" i="7" s="1"/>
  <c r="D46" i="7" l="1"/>
  <c r="D47" i="7" s="1"/>
  <c r="F47" i="7" s="1"/>
  <c r="H46" i="7"/>
  <c r="H47" i="7" s="1"/>
  <c r="H48" i="7" s="1"/>
  <c r="F46" i="7"/>
  <c r="G46" i="7"/>
  <c r="G47" i="7" l="1"/>
  <c r="C48" i="7" s="1"/>
  <c r="D48" i="7"/>
  <c r="F48" i="7" s="1"/>
  <c r="G48" i="7" l="1"/>
  <c r="C49" i="7" l="1"/>
  <c r="H49" i="7" l="1"/>
  <c r="H50" i="7" s="1"/>
  <c r="H51" i="7" s="1"/>
  <c r="C50" i="7"/>
  <c r="D49" i="7"/>
  <c r="F49" i="7" l="1"/>
  <c r="D50" i="7"/>
  <c r="F50" i="7" s="1"/>
  <c r="G49" i="7"/>
  <c r="G50" i="7" l="1"/>
  <c r="C51" i="7" s="1"/>
  <c r="D51" i="7"/>
  <c r="F51" i="7" s="1"/>
  <c r="G51" i="7" l="1"/>
  <c r="C52" i="7" l="1"/>
  <c r="H52" i="7" l="1"/>
  <c r="H53" i="7" s="1"/>
  <c r="H54" i="7" s="1"/>
  <c r="C53" i="7"/>
  <c r="D52" i="7"/>
  <c r="D53" i="7" l="1"/>
  <c r="D54" i="7" s="1"/>
  <c r="F54" i="7" s="1"/>
  <c r="F52" i="7"/>
  <c r="G52" i="7"/>
  <c r="G53" i="7" l="1"/>
  <c r="C54" i="7" s="1"/>
  <c r="G54" i="7" s="1"/>
  <c r="F53" i="7"/>
  <c r="C55" i="7" l="1"/>
  <c r="H55" i="7" l="1"/>
  <c r="H56" i="7" s="1"/>
  <c r="H57" i="7" s="1"/>
  <c r="C56" i="7"/>
  <c r="D55" i="7"/>
  <c r="D56" i="7" l="1"/>
  <c r="F56" i="7" s="1"/>
  <c r="F55" i="7"/>
  <c r="G55" i="7"/>
  <c r="G56" i="7" l="1"/>
  <c r="C57" i="7" s="1"/>
  <c r="D57" i="7"/>
  <c r="F57" i="7" s="1"/>
  <c r="G57" i="7" l="1"/>
  <c r="C58" i="7" l="1"/>
  <c r="H58" i="7" s="1"/>
  <c r="H59" i="7" l="1"/>
  <c r="H60" i="7" s="1"/>
  <c r="C59" i="7"/>
  <c r="D58" i="7"/>
  <c r="D59" i="7" l="1"/>
  <c r="F59" i="7" s="1"/>
  <c r="F58" i="7"/>
  <c r="G58" i="7"/>
  <c r="G59" i="7" l="1"/>
  <c r="C60" i="7" s="1"/>
  <c r="D60" i="7"/>
  <c r="F60" i="7" s="1"/>
  <c r="G60" i="7" l="1"/>
  <c r="C61" i="7" l="1"/>
  <c r="C62" i="7" s="1"/>
  <c r="H61" i="7" l="1"/>
  <c r="H62" i="7" s="1"/>
  <c r="H63" i="7" s="1"/>
  <c r="D61" i="7"/>
  <c r="D62" i="7" l="1"/>
  <c r="D63" i="7" s="1"/>
  <c r="F63" i="7" s="1"/>
  <c r="F61" i="7"/>
  <c r="G61" i="7"/>
  <c r="G62" i="7" l="1"/>
  <c r="C63" i="7" s="1"/>
  <c r="G63" i="7" s="1"/>
  <c r="F62" i="7"/>
  <c r="C64" i="7" l="1"/>
  <c r="H64" i="7" l="1"/>
  <c r="H65" i="7" s="1"/>
  <c r="H66" i="7" s="1"/>
  <c r="C65" i="7"/>
  <c r="D64" i="7"/>
  <c r="D65" i="7" l="1"/>
  <c r="F65" i="7" s="1"/>
  <c r="F64" i="7"/>
  <c r="G64" i="7"/>
  <c r="G65" i="7" l="1"/>
  <c r="C66" i="7" s="1"/>
  <c r="D66" i="7"/>
  <c r="F66" i="7" s="1"/>
  <c r="G66" i="7" l="1"/>
  <c r="C67" i="7" l="1"/>
  <c r="H67" i="7" l="1"/>
  <c r="H68" i="7" s="1"/>
  <c r="H69" i="7" s="1"/>
  <c r="C68" i="7"/>
  <c r="D67" i="7"/>
  <c r="F67" i="7" l="1"/>
  <c r="D68" i="7"/>
  <c r="F68" i="7" s="1"/>
  <c r="G67" i="7"/>
  <c r="D69" i="7" l="1"/>
  <c r="F69" i="7" s="1"/>
  <c r="G68" i="7"/>
  <c r="C69" i="7" s="1"/>
  <c r="G69" i="7" l="1"/>
  <c r="C70" i="7" l="1"/>
  <c r="H70" i="7" l="1"/>
  <c r="H71" i="7" s="1"/>
  <c r="H72" i="7" s="1"/>
  <c r="C71" i="7"/>
  <c r="D70" i="7"/>
  <c r="F70" i="7" l="1"/>
  <c r="D71" i="7"/>
  <c r="G71" i="7" s="1"/>
  <c r="C72" i="7" s="1"/>
  <c r="G70" i="7"/>
  <c r="D72" i="7" l="1"/>
  <c r="F72" i="7" s="1"/>
  <c r="F71" i="7"/>
  <c r="G72" i="7" l="1"/>
  <c r="C73" i="7" l="1"/>
  <c r="H73" i="7" l="1"/>
  <c r="H74" i="7" s="1"/>
  <c r="H75" i="7" s="1"/>
  <c r="C74" i="7"/>
  <c r="D73" i="7"/>
  <c r="F73" i="7" l="1"/>
  <c r="D74" i="7"/>
  <c r="F74" i="7" s="1"/>
  <c r="G73" i="7"/>
  <c r="G74" i="7" l="1"/>
  <c r="C75" i="7" s="1"/>
  <c r="D75" i="7"/>
  <c r="F75" i="7" s="1"/>
  <c r="G75" i="7" l="1"/>
  <c r="C76" i="7" l="1"/>
  <c r="H76" i="7" l="1"/>
  <c r="H77" i="7" s="1"/>
  <c r="H78" i="7" s="1"/>
  <c r="C77" i="7"/>
  <c r="D76" i="7"/>
  <c r="F76" i="7" l="1"/>
  <c r="D77" i="7"/>
  <c r="F77" i="7" s="1"/>
  <c r="G76" i="7"/>
  <c r="G77" i="7" l="1"/>
  <c r="C78" i="7" s="1"/>
  <c r="D78" i="7"/>
  <c r="F78" i="7" s="1"/>
  <c r="G78" i="7" l="1"/>
  <c r="C79" i="7" l="1"/>
  <c r="H79" i="7" l="1"/>
  <c r="H80" i="7" s="1"/>
  <c r="H81" i="7" s="1"/>
  <c r="C80" i="7"/>
  <c r="D79" i="7"/>
  <c r="F79" i="7" l="1"/>
  <c r="D80" i="7"/>
  <c r="G80" i="7" s="1"/>
  <c r="C81" i="7" s="1"/>
  <c r="G79" i="7"/>
  <c r="D81" i="7" l="1"/>
  <c r="F81" i="7" s="1"/>
  <c r="F80" i="7"/>
  <c r="G81" i="7" l="1"/>
  <c r="C82" i="7" l="1"/>
  <c r="H82" i="7" l="1"/>
  <c r="H83" i="7" s="1"/>
  <c r="H84" i="7" s="1"/>
  <c r="C83" i="7"/>
  <c r="D82" i="7"/>
  <c r="F82" i="7" l="1"/>
  <c r="D83" i="7"/>
  <c r="F83" i="7" s="1"/>
  <c r="G82" i="7"/>
  <c r="D84" i="7" l="1"/>
  <c r="F84" i="7" s="1"/>
  <c r="G83" i="7"/>
  <c r="C84" i="7" s="1"/>
  <c r="G84" i="7" l="1"/>
  <c r="C85" i="7" l="1"/>
  <c r="H85" i="7" l="1"/>
  <c r="H86" i="7" s="1"/>
  <c r="H87" i="7" s="1"/>
  <c r="C86" i="7"/>
  <c r="D85" i="7"/>
  <c r="F85" i="7" l="1"/>
  <c r="D86" i="7"/>
  <c r="G85" i="7"/>
  <c r="D87" i="7" l="1"/>
  <c r="F87" i="7" s="1"/>
  <c r="F86" i="7"/>
  <c r="G86" i="7"/>
  <c r="C87" i="7" s="1"/>
  <c r="G87" i="7" s="1"/>
  <c r="C88" i="7" l="1"/>
  <c r="H88" i="7" l="1"/>
  <c r="H89" i="7" s="1"/>
  <c r="H90" i="7" s="1"/>
  <c r="C89" i="7"/>
  <c r="D88" i="7"/>
  <c r="F88" i="7" l="1"/>
  <c r="D89" i="7"/>
  <c r="G88" i="7"/>
  <c r="D90" i="7" l="1"/>
  <c r="F90" i="7" s="1"/>
  <c r="F89" i="7"/>
  <c r="G89" i="7"/>
  <c r="C90" i="7" s="1"/>
  <c r="G90" i="7" l="1"/>
  <c r="C91" i="7"/>
  <c r="H91" i="7" l="1"/>
  <c r="H92" i="7" s="1"/>
  <c r="H93" i="7" s="1"/>
  <c r="C92" i="7"/>
  <c r="D91" i="7"/>
  <c r="F91" i="7" l="1"/>
  <c r="D92" i="7"/>
  <c r="F92" i="7" s="1"/>
  <c r="G91" i="7"/>
  <c r="G92" i="7" l="1"/>
  <c r="C93" i="7" s="1"/>
  <c r="D93" i="7"/>
  <c r="F93" i="7" s="1"/>
  <c r="G93" i="7" l="1"/>
  <c r="C94" i="7" l="1"/>
  <c r="H94" i="7" l="1"/>
  <c r="H95" i="7" s="1"/>
  <c r="H96" i="7" s="1"/>
  <c r="C95" i="7"/>
  <c r="D94" i="7"/>
  <c r="F94" i="7" l="1"/>
  <c r="D95" i="7"/>
  <c r="G95" i="7" s="1"/>
  <c r="C96" i="7" s="1"/>
  <c r="G94" i="7"/>
  <c r="D96" i="7" l="1"/>
  <c r="F96" i="7" s="1"/>
  <c r="F95" i="7"/>
  <c r="G96" i="7" l="1"/>
  <c r="C97" i="7" l="1"/>
  <c r="H97" i="7" l="1"/>
  <c r="H98" i="7" s="1"/>
  <c r="H99" i="7" s="1"/>
  <c r="C98" i="7"/>
  <c r="D97" i="7"/>
  <c r="F97" i="7" l="1"/>
  <c r="D98" i="7"/>
  <c r="F98" i="7" s="1"/>
  <c r="G97" i="7"/>
  <c r="D99" i="7" l="1"/>
  <c r="F99" i="7" s="1"/>
  <c r="G98" i="7"/>
  <c r="C99" i="7" s="1"/>
  <c r="G99" i="7" l="1"/>
</calcChain>
</file>

<file path=xl/sharedStrings.xml><?xml version="1.0" encoding="utf-8"?>
<sst xmlns="http://schemas.openxmlformats.org/spreadsheetml/2006/main" count="15" uniqueCount="14">
  <si>
    <t>Loan Amount</t>
  </si>
  <si>
    <t>Amortization Schedule for 2 even Payments per Year.</t>
  </si>
  <si>
    <t>Annual Interest Rate</t>
  </si>
  <si>
    <t>Terms (Years)</t>
  </si>
  <si>
    <t>Payments per Year</t>
  </si>
  <si>
    <t>Port Fee</t>
  </si>
  <si>
    <t>First Payment Date</t>
  </si>
  <si>
    <t>Payment #</t>
  </si>
  <si>
    <t>Due Date</t>
  </si>
  <si>
    <t>Beginning Balance</t>
  </si>
  <si>
    <t>Principal</t>
  </si>
  <si>
    <t>Interest</t>
  </si>
  <si>
    <t>Payment</t>
  </si>
  <si>
    <t>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</si>
</sst>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2" tint="-0.749992370372631"/>
      <name val="Arial"/>
      <family val="2"/>
    </font>
    <font>
      <sz val="11"/>
      <color rgb="FF9C57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8" fillId="4" borderId="0" applyNumberFormat="0" applyBorder="0" applyAlignment="0" applyProtection="0"/>
  </cellStyleXfs>
  <cellXfs count="38">
    <xf numFmtId="0" fontId="0" fillId="0" borderId="0" xfId="0"/>
    <xf numFmtId="0" fontId="2" fillId="2" borderId="0" xfId="1" applyFill="1"/>
    <xf numFmtId="0" fontId="2" fillId="0" borderId="0" xfId="1"/>
    <xf numFmtId="0" fontId="5" fillId="0" borderId="0" xfId="1" applyFont="1" applyAlignment="1">
      <alignment horizontal="right"/>
    </xf>
    <xf numFmtId="44" fontId="3" fillId="2" borderId="0" xfId="1" applyNumberFormat="1" applyFont="1" applyFill="1"/>
    <xf numFmtId="44" fontId="2" fillId="2" borderId="0" xfId="1" applyNumberFormat="1" applyFill="1"/>
    <xf numFmtId="0" fontId="2" fillId="2" borderId="0" xfId="1" applyFill="1" applyProtection="1">
      <protection locked="0"/>
    </xf>
    <xf numFmtId="0" fontId="6" fillId="2" borderId="0" xfId="1" applyFont="1" applyFill="1"/>
    <xf numFmtId="164" fontId="1" fillId="0" borderId="0" xfId="1" applyNumberFormat="1" applyFont="1" applyProtection="1">
      <protection locked="0"/>
    </xf>
    <xf numFmtId="164" fontId="8" fillId="4" borderId="0" xfId="3" applyNumberFormat="1"/>
    <xf numFmtId="164" fontId="8" fillId="4" borderId="0" xfId="3" applyNumberFormat="1" applyProtection="1">
      <protection locked="0"/>
    </xf>
    <xf numFmtId="164" fontId="1" fillId="2" borderId="2" xfId="1" applyNumberFormat="1" applyFont="1" applyFill="1" applyBorder="1" applyProtection="1">
      <protection locked="0"/>
    </xf>
    <xf numFmtId="44" fontId="1" fillId="2" borderId="0" xfId="1" applyNumberFormat="1" applyFont="1" applyFill="1"/>
    <xf numFmtId="10" fontId="1" fillId="2" borderId="6" xfId="1" applyNumberFormat="1" applyFont="1" applyFill="1" applyBorder="1" applyProtection="1">
      <protection locked="0"/>
    </xf>
    <xf numFmtId="10" fontId="1" fillId="2" borderId="0" xfId="1" applyNumberFormat="1" applyFont="1" applyFill="1"/>
    <xf numFmtId="0" fontId="1" fillId="2" borderId="6" xfId="1" applyFont="1" applyFill="1" applyBorder="1" applyProtection="1">
      <protection locked="0"/>
    </xf>
    <xf numFmtId="0" fontId="1" fillId="2" borderId="0" xfId="1" applyFont="1" applyFill="1"/>
    <xf numFmtId="10" fontId="1" fillId="2" borderId="10" xfId="2" applyNumberFormat="1" applyFont="1" applyFill="1" applyBorder="1" applyProtection="1">
      <protection locked="0"/>
    </xf>
    <xf numFmtId="14" fontId="1" fillId="2" borderId="4" xfId="2" applyNumberFormat="1" applyFont="1" applyFill="1" applyBorder="1" applyProtection="1">
      <protection locked="0"/>
    </xf>
    <xf numFmtId="10" fontId="1" fillId="2" borderId="0" xfId="2" applyNumberFormat="1" applyFont="1" applyFill="1" applyBorder="1" applyProtection="1"/>
    <xf numFmtId="164" fontId="1" fillId="5" borderId="0" xfId="1" applyNumberFormat="1" applyFont="1" applyFill="1" applyProtection="1">
      <protection locked="0"/>
    </xf>
    <xf numFmtId="44" fontId="9" fillId="2" borderId="0" xfId="1" applyNumberFormat="1" applyFont="1" applyFill="1"/>
    <xf numFmtId="0" fontId="8" fillId="4" borderId="0" xfId="3" applyProtection="1">
      <protection locked="0"/>
    </xf>
    <xf numFmtId="14" fontId="8" fillId="4" borderId="0" xfId="3" applyNumberFormat="1" applyProtection="1">
      <protection locked="0"/>
    </xf>
    <xf numFmtId="0" fontId="7" fillId="3" borderId="0" xfId="1" applyFont="1" applyFill="1"/>
    <xf numFmtId="14" fontId="7" fillId="3" borderId="0" xfId="1" applyNumberFormat="1" applyFont="1" applyFill="1"/>
    <xf numFmtId="164" fontId="7" fillId="3" borderId="0" xfId="1" applyNumberFormat="1" applyFont="1" applyFill="1"/>
    <xf numFmtId="0" fontId="8" fillId="4" borderId="0" xfId="3" applyProtection="1"/>
    <xf numFmtId="14" fontId="8" fillId="4" borderId="0" xfId="3" applyNumberFormat="1" applyProtection="1"/>
    <xf numFmtId="164" fontId="8" fillId="4" borderId="0" xfId="3" applyNumberFormat="1" applyProtection="1"/>
    <xf numFmtId="0" fontId="3" fillId="2" borderId="3" xfId="1" applyFont="1" applyFill="1" applyBorder="1"/>
    <xf numFmtId="0" fontId="3" fillId="2" borderId="9" xfId="1" applyFont="1" applyFill="1" applyBorder="1"/>
    <xf numFmtId="0" fontId="3" fillId="2" borderId="1" xfId="1" applyFont="1" applyFill="1" applyBorder="1"/>
    <xf numFmtId="0" fontId="3" fillId="2" borderId="8" xfId="1" applyFont="1" applyFill="1" applyBorder="1"/>
    <xf numFmtId="0" fontId="3" fillId="2" borderId="5" xfId="1" applyFont="1" applyFill="1" applyBorder="1"/>
    <xf numFmtId="0" fontId="3" fillId="2" borderId="7" xfId="1" applyFont="1" applyFill="1" applyBorder="1"/>
    <xf numFmtId="0" fontId="3" fillId="2" borderId="11" xfId="1" applyFont="1" applyFill="1" applyBorder="1" applyAlignment="1">
      <alignment horizontal="left"/>
    </xf>
    <xf numFmtId="0" fontId="3" fillId="2" borderId="12" xfId="1" applyFont="1" applyFill="1" applyBorder="1" applyAlignment="1">
      <alignment horizontal="left"/>
    </xf>
  </cellXfs>
  <cellStyles count="4">
    <cellStyle name="Neutral" xfId="3" builtinId="28"/>
    <cellStyle name="Normal" xfId="0" builtinId="0"/>
    <cellStyle name="Normal 2" xfId="1" xr:uid="{0B7BB12C-3FCD-47C3-BDBC-91BA514A8981}"/>
    <cellStyle name="Percent" xfId="2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164" formatCode="&quot;$&quot;#,##0.00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19" formatCode="m/d/yyyy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top style="thin">
          <color rgb="FF4472C4"/>
        </top>
        <bottom style="thin">
          <color rgb="FF4472C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alignment horizontal="right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160022</xdr:colOff>
      <xdr:row>0</xdr:row>
      <xdr:rowOff>91440</xdr:rowOff>
    </xdr:from>
    <xdr:to>
      <xdr:col>2</xdr:col>
      <xdr:colOff>270794</xdr:colOff>
      <xdr:row>0</xdr:row>
      <xdr:rowOff>641985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89417E-6289-4AF5-93EE-BEE1F7201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2" y="91440"/>
          <a:ext cx="1646202" cy="5486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3656CC-99F7-490F-886F-431B9FACAAF3}" name="Table32" displayName="Table32" ref="A9:H219" totalsRowShown="0" headerRowDxfId="10" dataDxfId="9" tableBorderDxfId="8" headerRowCellStyle="Normal 2" dataCellStyle="Normal 2">
  <autoFilter ref="A9:H219" xr:uid="{1CEB52AF-627D-4BE1-B8EE-C873164F0E3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9" xr3:uid="{F9653442-346A-4BC5-B908-F77ADDD2B011}" name="Payment #" dataDxfId="7" dataCellStyle="Normal 2"/>
    <tableColumn id="1" xr3:uid="{786D0AF6-442A-4987-AABF-8109877C5027}" name="Due Date" dataDxfId="6" dataCellStyle="Normal 2"/>
    <tableColumn id="3" xr3:uid="{133FDFE9-B0D9-4C21-B2EA-5A6D5C066D72}" name="Beginning Balance" dataDxfId="5" dataCellStyle="Normal 2"/>
    <tableColumn id="10" xr3:uid="{6FF4CEEB-0C36-422B-8DDE-2E147861E86C}" name="Principal" dataDxfId="4" dataCellStyle="Normal 2">
      <calculatedColumnFormula>ROUND(IF(PPMT($C$3/$C$5, Table32[[#This Row],[Payment '#]], $C$4*$C$5, -$C$2)&gt;Table32[[#This Row],[Beginning Balance]],Table32[[#This Row],[Beginning Balance]],PPMT($C$3/$C$5, Table32[[#This Row],[Payment '#]], $C$4*$C$5, -$C$2)),2)</calculatedColumnFormula>
    </tableColumn>
    <tableColumn id="5" xr3:uid="{D9694142-1F2F-4412-A3C2-B4DD29C052AF}" name="Interest" dataDxfId="3" dataCellStyle="Normal 2">
      <calculatedColumnFormula>ROUND(IPMT($C$3/$C$5, Table32[[#This Row],[Payment '#]], $C$4*$C$5, -$C$2),2)</calculatedColumnFormula>
    </tableColumn>
    <tableColumn id="6" xr3:uid="{6D3D91AB-AFDB-4DD1-A481-A4AC04AA8629}" name="Payment" dataDxfId="2" dataCellStyle="Normal 2">
      <calculatedColumnFormula>Table32[[#This Row],[Principal]]+Table32[[#This Row],[Interest]]</calculatedColumnFormula>
    </tableColumn>
    <tableColumn id="7" xr3:uid="{3966AC92-CBFD-4DDF-B658-08A9AC079FF5}" name="Ending Balance" dataDxfId="1" dataCellStyle="Normal 2">
      <calculatedColumnFormula>Table32[[#This Row],[Beginning Balance]]-Table32[[#This Row],[Principal]]</calculatedColumnFormula>
    </tableColumn>
    <tableColumn id="8" xr3:uid="{FB404EF8-7DF1-4937-96FB-D163610AB3D7}" name="Port Fee" dataDxfId="0" dataCellStyle="Normal 2">
      <calculatedColumnFormula>ROUND('PACE Even Payment Amort'!$C10*$C$6,2)</calculatedColumnFormula>
    </tableColumn>
  </tableColumns>
  <tableStyleInfo name="TableStyleMedium16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A3586-04DE-49A1-9BD1-D38BD17791D7}">
  <dimension ref="A1:AD219"/>
  <sheetViews>
    <sheetView showGridLines="0" tabSelected="1" workbookViewId="0">
      <selection activeCell="N4" sqref="N4"/>
    </sheetView>
  </sheetViews>
  <sheetFormatPr defaultColWidth="8.85546875" defaultRowHeight="12.75" x14ac:dyDescent="0.2"/>
  <cols>
    <col min="1" max="1" width="12.28515625" customWidth="1"/>
    <col min="2" max="2" width="10.7109375" customWidth="1"/>
    <col min="3" max="3" width="19.7109375" customWidth="1"/>
    <col min="4" max="6" width="15.7109375" customWidth="1"/>
    <col min="7" max="7" width="16.7109375" customWidth="1"/>
    <col min="8" max="8" width="15.7109375" customWidth="1"/>
    <col min="9" max="9" width="2.85546875" customWidth="1"/>
  </cols>
  <sheetData>
    <row r="1" spans="1:30" s="2" customFormat="1" ht="58.9" customHeight="1" thickBot="1" x14ac:dyDescent="0.3">
      <c r="A1" s="6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2" customFormat="1" ht="15" x14ac:dyDescent="0.25">
      <c r="A2" s="32" t="s">
        <v>0</v>
      </c>
      <c r="B2" s="33"/>
      <c r="C2" s="11">
        <v>6449625</v>
      </c>
      <c r="D2" s="12"/>
      <c r="E2" s="21" t="s">
        <v>1</v>
      </c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s="2" customFormat="1" ht="15" x14ac:dyDescent="0.25">
      <c r="A3" s="34" t="s">
        <v>2</v>
      </c>
      <c r="B3" s="35"/>
      <c r="C3" s="13">
        <v>7.5999999999999998E-2</v>
      </c>
      <c r="D3" s="1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s="2" customFormat="1" ht="15" x14ac:dyDescent="0.25">
      <c r="A4" s="34" t="s">
        <v>3</v>
      </c>
      <c r="B4" s="35"/>
      <c r="C4" s="15">
        <v>28</v>
      </c>
      <c r="D4" s="16"/>
      <c r="E4" s="4"/>
      <c r="F4" s="4"/>
      <c r="G4" s="4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s="1" customFormat="1" ht="15" hidden="1" x14ac:dyDescent="0.25">
      <c r="A5" s="36" t="s">
        <v>4</v>
      </c>
      <c r="B5" s="37"/>
      <c r="C5" s="15">
        <v>1</v>
      </c>
      <c r="D5" s="16"/>
      <c r="E5" s="4"/>
      <c r="F5" s="4"/>
      <c r="G5" s="4"/>
      <c r="H5" s="4"/>
    </row>
    <row r="6" spans="1:30" s="1" customFormat="1" ht="15" x14ac:dyDescent="0.25">
      <c r="A6" s="36" t="s">
        <v>5</v>
      </c>
      <c r="B6" s="37"/>
      <c r="C6" s="17">
        <v>1E-3</v>
      </c>
      <c r="D6" s="16"/>
      <c r="E6" s="4"/>
      <c r="F6" s="4"/>
      <c r="G6" s="4"/>
      <c r="H6" s="4"/>
    </row>
    <row r="7" spans="1:30" s="1" customFormat="1" ht="15.75" thickBot="1" x14ac:dyDescent="0.3">
      <c r="A7" s="30" t="s">
        <v>6</v>
      </c>
      <c r="B7" s="31"/>
      <c r="C7" s="18">
        <v>46174</v>
      </c>
      <c r="D7" s="19"/>
      <c r="E7" s="4"/>
      <c r="F7" s="4"/>
      <c r="G7" s="4"/>
      <c r="H7" s="4"/>
    </row>
    <row r="8" spans="1:30" s="1" customFormat="1" ht="15" x14ac:dyDescent="0.25">
      <c r="E8" s="5"/>
    </row>
    <row r="9" spans="1:30" s="7" customFormat="1" ht="15" x14ac:dyDescent="0.25">
      <c r="A9" s="3" t="s">
        <v>7</v>
      </c>
      <c r="B9" s="3" t="s">
        <v>8</v>
      </c>
      <c r="C9" s="3" t="s">
        <v>9</v>
      </c>
      <c r="D9" s="3" t="s">
        <v>10</v>
      </c>
      <c r="E9" s="3" t="s">
        <v>11</v>
      </c>
      <c r="F9" s="3" t="s">
        <v>12</v>
      </c>
      <c r="G9" s="3" t="s">
        <v>13</v>
      </c>
      <c r="H9" s="3" t="s">
        <v>5</v>
      </c>
    </row>
    <row r="10" spans="1:30" s="1" customFormat="1" ht="15" hidden="1" x14ac:dyDescent="0.25">
      <c r="A10" s="22">
        <v>1</v>
      </c>
      <c r="B10" s="23">
        <f>C7</f>
        <v>46174</v>
      </c>
      <c r="C10" s="10">
        <f>C2</f>
        <v>6449625</v>
      </c>
      <c r="D10" s="10">
        <f>ROUND(IF(PPMT($C$3/$C$5, Table32[[#This Row],[Payment '#]], $C$4*$C$5, -$C$2)&gt;Table32[[#This Row],[Beginning Balance]],Table32[[#This Row],[Beginning Balance]],PPMT($C$3/$C$5, Table32[[#This Row],[Payment '#]], $C$4*$C$5, -$C$2)),2)</f>
        <v>72341.78</v>
      </c>
      <c r="E10" s="10">
        <f>ROUND(IPMT($C$3/$C$5, Table32[[#This Row],[Payment '#]], $C$4*$C$5, -$C$2),2)</f>
        <v>490171.5</v>
      </c>
      <c r="F10" s="29">
        <f>Table32[[#This Row],[Principal]]+Table32[[#This Row],[Interest]]</f>
        <v>562513.28</v>
      </c>
      <c r="G10" s="29"/>
      <c r="H10" s="10">
        <f>ROUND('PACE Even Payment Amort'!$C10*$C$6,2)</f>
        <v>6449.63</v>
      </c>
    </row>
    <row r="11" spans="1:30" s="1" customFormat="1" ht="15" x14ac:dyDescent="0.25">
      <c r="A11" s="24">
        <f>A10</f>
        <v>1</v>
      </c>
      <c r="B11" s="25">
        <f>B10</f>
        <v>46174</v>
      </c>
      <c r="C11" s="26">
        <f>C10</f>
        <v>6449625</v>
      </c>
      <c r="D11" s="8">
        <f>ROUND(D10/2,2)</f>
        <v>36170.89</v>
      </c>
      <c r="E11" s="8">
        <f>E10-E12</f>
        <v>245085.75</v>
      </c>
      <c r="F11" s="26">
        <f>Table32[[#This Row],[Principal]]+Table32[[#This Row],[Interest]]</f>
        <v>281256.64</v>
      </c>
      <c r="G11" s="26">
        <f>Table32[[#This Row],[Beginning Balance]]-Table32[[#This Row],[Principal]]</f>
        <v>6413454.1100000003</v>
      </c>
      <c r="H11" s="8">
        <f>ROUND(H10/2,2)</f>
        <v>3224.82</v>
      </c>
    </row>
    <row r="12" spans="1:30" s="1" customFormat="1" ht="15" x14ac:dyDescent="0.25">
      <c r="A12" s="24">
        <f>A11+1</f>
        <v>2</v>
      </c>
      <c r="B12" s="25">
        <f>EDATE(B11,6)</f>
        <v>46357</v>
      </c>
      <c r="C12" s="26">
        <f>G11</f>
        <v>6413454.1100000003</v>
      </c>
      <c r="D12" s="8">
        <f>D10-D11</f>
        <v>36170.89</v>
      </c>
      <c r="E12" s="8">
        <f>ROUND(E10/2,2)</f>
        <v>245085.75</v>
      </c>
      <c r="F12" s="26">
        <f>Table32[[#This Row],[Principal]]+Table32[[#This Row],[Interest]]</f>
        <v>281256.64</v>
      </c>
      <c r="G12" s="26">
        <f>Table32[[#This Row],[Beginning Balance]]-Table32[[#This Row],[Principal]]</f>
        <v>6377283.2200000007</v>
      </c>
      <c r="H12" s="8">
        <f>H10-H11</f>
        <v>3224.81</v>
      </c>
    </row>
    <row r="13" spans="1:30" s="1" customFormat="1" ht="15" hidden="1" x14ac:dyDescent="0.25">
      <c r="A13" s="27">
        <f>A10+1</f>
        <v>2</v>
      </c>
      <c r="B13" s="28">
        <f>EDATE(B10,12/$C$5)</f>
        <v>46539</v>
      </c>
      <c r="C13" s="29">
        <f>G12</f>
        <v>6377283.2200000007</v>
      </c>
      <c r="D13" s="10">
        <f>ROUND(IF(PPMT($C$3/$C$5, Table32[[#This Row],[Payment '#]], $C$4*$C$5, -$C$2)&gt;Table32[[#This Row],[Beginning Balance]],Table32[[#This Row],[Beginning Balance]],PPMT($C$3/$C$5, Table32[[#This Row],[Payment '#]], $C$4*$C$5, -$C$2)),2)</f>
        <v>77839.75</v>
      </c>
      <c r="E13" s="10">
        <f>ROUND(IPMT($C$3/$C$5, Table32[[#This Row],[Payment '#]], $C$4*$C$5, -$C$2),2)</f>
        <v>484673.52</v>
      </c>
      <c r="F13" s="29">
        <f>Table32[[#This Row],[Principal]]+Table32[[#This Row],[Interest]]</f>
        <v>562513.27</v>
      </c>
      <c r="G13" s="29"/>
      <c r="H13" s="10">
        <f>ROUND('PACE Even Payment Amort'!$C13*$C$6,2)</f>
        <v>6377.28</v>
      </c>
    </row>
    <row r="14" spans="1:30" s="1" customFormat="1" ht="15" x14ac:dyDescent="0.25">
      <c r="A14" s="24">
        <f>A12+1</f>
        <v>3</v>
      </c>
      <c r="B14" s="25">
        <f>EDATE(B12,6)</f>
        <v>46539</v>
      </c>
      <c r="C14" s="26">
        <f>C13</f>
        <v>6377283.2200000007</v>
      </c>
      <c r="D14" s="20">
        <f>ROUND(D13/2,2)</f>
        <v>38919.879999999997</v>
      </c>
      <c r="E14" s="20">
        <f>E13-E15</f>
        <v>242336.76</v>
      </c>
      <c r="F14" s="26">
        <f>Table32[[#This Row],[Principal]]+Table32[[#This Row],[Interest]]</f>
        <v>281256.64</v>
      </c>
      <c r="G14" s="26">
        <f>Table32[[#This Row],[Beginning Balance]]-Table32[[#This Row],[Principal]]</f>
        <v>6338363.3400000008</v>
      </c>
      <c r="H14" s="20">
        <f>ROUND(H13/2,2)</f>
        <v>3188.64</v>
      </c>
    </row>
    <row r="15" spans="1:30" s="1" customFormat="1" ht="15" x14ac:dyDescent="0.25">
      <c r="A15" s="24">
        <f>A14+1</f>
        <v>4</v>
      </c>
      <c r="B15" s="25">
        <f>EDATE(B14,6)</f>
        <v>46722</v>
      </c>
      <c r="C15" s="26">
        <f>G14</f>
        <v>6338363.3400000008</v>
      </c>
      <c r="D15" s="20">
        <f>D13-D14</f>
        <v>38919.870000000003</v>
      </c>
      <c r="E15" s="20">
        <f>ROUND(E13/2,2)</f>
        <v>242336.76</v>
      </c>
      <c r="F15" s="26">
        <f>Table32[[#This Row],[Principal]]+Table32[[#This Row],[Interest]]</f>
        <v>281256.63</v>
      </c>
      <c r="G15" s="26">
        <f>Table32[[#This Row],[Beginning Balance]]-Table32[[#This Row],[Principal]]</f>
        <v>6299443.4700000007</v>
      </c>
      <c r="H15" s="20">
        <f>H13-H14</f>
        <v>3188.64</v>
      </c>
    </row>
    <row r="16" spans="1:30" s="1" customFormat="1" ht="15" hidden="1" x14ac:dyDescent="0.25">
      <c r="A16" s="27">
        <f>A13+1</f>
        <v>3</v>
      </c>
      <c r="B16" s="28">
        <f>EDATE(B13,12/$C$5)</f>
        <v>46905</v>
      </c>
      <c r="C16" s="29">
        <f>G15</f>
        <v>6299443.4700000007</v>
      </c>
      <c r="D16" s="10">
        <f>ROUND(IF(PPMT($C$3/$C$5, Table32[[#This Row],[Payment '#]], $C$4*$C$5, -$C$2)&gt;Table32[[#This Row],[Beginning Balance]],Table32[[#This Row],[Beginning Balance]],PPMT($C$3/$C$5, Table32[[#This Row],[Payment '#]], $C$4*$C$5, -$C$2)),2)</f>
        <v>83755.570000000007</v>
      </c>
      <c r="E16" s="10">
        <f>ROUND(IPMT($C$3/$C$5, Table32[[#This Row],[Payment '#]], $C$4*$C$5, -$C$2),2)</f>
        <v>478757.7</v>
      </c>
      <c r="F16" s="29">
        <f>Table32[[#This Row],[Principal]]+Table32[[#This Row],[Interest]]</f>
        <v>562513.27</v>
      </c>
      <c r="G16" s="29"/>
      <c r="H16" s="10">
        <f>ROUND('PACE Even Payment Amort'!$C16*$C$6,2)</f>
        <v>6299.44</v>
      </c>
    </row>
    <row r="17" spans="1:8" s="1" customFormat="1" ht="15" x14ac:dyDescent="0.25">
      <c r="A17" s="24">
        <f>A15+1</f>
        <v>5</v>
      </c>
      <c r="B17" s="25">
        <f>EDATE(B15,6)</f>
        <v>46905</v>
      </c>
      <c r="C17" s="26">
        <f>C16</f>
        <v>6299443.4700000007</v>
      </c>
      <c r="D17" s="8">
        <f>ROUND(D16/2,2)</f>
        <v>41877.79</v>
      </c>
      <c r="E17" s="8">
        <f>E16-E18</f>
        <v>239378.85</v>
      </c>
      <c r="F17" s="26">
        <f>Table32[[#This Row],[Principal]]+Table32[[#This Row],[Interest]]</f>
        <v>281256.64</v>
      </c>
      <c r="G17" s="26">
        <f>Table32[[#This Row],[Beginning Balance]]-Table32[[#This Row],[Principal]]</f>
        <v>6257565.6800000006</v>
      </c>
      <c r="H17" s="8">
        <f>ROUND(H16/2,2)</f>
        <v>3149.72</v>
      </c>
    </row>
    <row r="18" spans="1:8" s="1" customFormat="1" ht="15" x14ac:dyDescent="0.25">
      <c r="A18" s="24">
        <f>A17+1</f>
        <v>6</v>
      </c>
      <c r="B18" s="25">
        <f>EDATE(B17,6)</f>
        <v>47088</v>
      </c>
      <c r="C18" s="26">
        <f>G17</f>
        <v>6257565.6800000006</v>
      </c>
      <c r="D18" s="8">
        <f>D16-D17</f>
        <v>41877.780000000006</v>
      </c>
      <c r="E18" s="8">
        <f>ROUND(E16/2,2)</f>
        <v>239378.85</v>
      </c>
      <c r="F18" s="26">
        <f>Table32[[#This Row],[Principal]]+Table32[[#This Row],[Interest]]</f>
        <v>281256.63</v>
      </c>
      <c r="G18" s="26">
        <f>Table32[[#This Row],[Beginning Balance]]-Table32[[#This Row],[Principal]]</f>
        <v>6215687.9000000004</v>
      </c>
      <c r="H18" s="8">
        <f>H16-H17</f>
        <v>3149.72</v>
      </c>
    </row>
    <row r="19" spans="1:8" s="1" customFormat="1" ht="15" hidden="1" x14ac:dyDescent="0.25">
      <c r="A19" s="27">
        <f>A16+1</f>
        <v>4</v>
      </c>
      <c r="B19" s="28">
        <f>EDATE(B16,12/$C$5)</f>
        <v>47270</v>
      </c>
      <c r="C19" s="29">
        <f>G18</f>
        <v>6215687.9000000004</v>
      </c>
      <c r="D19" s="10">
        <f>ROUND(IF(PPMT($C$3/$C$5, Table32[[#This Row],[Payment '#]], $C$4*$C$5, -$C$2)&gt;Table32[[#This Row],[Beginning Balance]],Table32[[#This Row],[Beginning Balance]],PPMT($C$3/$C$5, Table32[[#This Row],[Payment '#]], $C$4*$C$5, -$C$2)),2)</f>
        <v>90121</v>
      </c>
      <c r="E19" s="10">
        <f>ROUND(IPMT($C$3/$C$5, Table32[[#This Row],[Payment '#]], $C$4*$C$5, -$C$2),2)</f>
        <v>472392.28</v>
      </c>
      <c r="F19" s="29">
        <f>Table32[[#This Row],[Principal]]+Table32[[#This Row],[Interest]]</f>
        <v>562513.28</v>
      </c>
      <c r="G19" s="29"/>
      <c r="H19" s="10">
        <f>ROUND('PACE Even Payment Amort'!$C19*$C$6,2)</f>
        <v>6215.69</v>
      </c>
    </row>
    <row r="20" spans="1:8" s="1" customFormat="1" ht="15" x14ac:dyDescent="0.25">
      <c r="A20" s="24">
        <f>A18+1</f>
        <v>7</v>
      </c>
      <c r="B20" s="25">
        <f>EDATE(B18,6)</f>
        <v>47270</v>
      </c>
      <c r="C20" s="26">
        <f>C19</f>
        <v>6215687.9000000004</v>
      </c>
      <c r="D20" s="20">
        <f>ROUND(D19/2,2)</f>
        <v>45060.5</v>
      </c>
      <c r="E20" s="20">
        <f>E19-E21</f>
        <v>236196.14</v>
      </c>
      <c r="F20" s="26">
        <f>Table32[[#This Row],[Principal]]+Table32[[#This Row],[Interest]]</f>
        <v>281256.64</v>
      </c>
      <c r="G20" s="26">
        <f>Table32[[#This Row],[Beginning Balance]]-Table32[[#This Row],[Principal]]</f>
        <v>6170627.4000000004</v>
      </c>
      <c r="H20" s="20">
        <f>ROUND(H19/2,2)</f>
        <v>3107.85</v>
      </c>
    </row>
    <row r="21" spans="1:8" s="1" customFormat="1" ht="15" x14ac:dyDescent="0.25">
      <c r="A21" s="24">
        <f>A20+1</f>
        <v>8</v>
      </c>
      <c r="B21" s="25">
        <f>EDATE(B20,6)</f>
        <v>47453</v>
      </c>
      <c r="C21" s="26">
        <f>G20</f>
        <v>6170627.4000000004</v>
      </c>
      <c r="D21" s="20">
        <f>D19-D20</f>
        <v>45060.5</v>
      </c>
      <c r="E21" s="20">
        <f>ROUND(E19/2,2)</f>
        <v>236196.14</v>
      </c>
      <c r="F21" s="26">
        <f>Table32[[#This Row],[Principal]]+Table32[[#This Row],[Interest]]</f>
        <v>281256.64</v>
      </c>
      <c r="G21" s="26">
        <f>Table32[[#This Row],[Beginning Balance]]-Table32[[#This Row],[Principal]]</f>
        <v>6125566.9000000004</v>
      </c>
      <c r="H21" s="20">
        <f>H19-H20</f>
        <v>3107.8399999999997</v>
      </c>
    </row>
    <row r="22" spans="1:8" s="1" customFormat="1" ht="15" hidden="1" x14ac:dyDescent="0.25">
      <c r="A22" s="27">
        <f>A19+1</f>
        <v>5</v>
      </c>
      <c r="B22" s="28">
        <f>EDATE(B19,12/$C$5)</f>
        <v>47635</v>
      </c>
      <c r="C22" s="29">
        <f>G21</f>
        <v>6125566.9000000004</v>
      </c>
      <c r="D22" s="10">
        <f>ROUND(IF(PPMT($C$3/$C$5, Table32[[#This Row],[Payment '#]], $C$4*$C$5, -$C$2)&gt;Table32[[#This Row],[Beginning Balance]],Table32[[#This Row],[Beginning Balance]],PPMT($C$3/$C$5, Table32[[#This Row],[Payment '#]], $C$4*$C$5, -$C$2)),2)</f>
        <v>96970.19</v>
      </c>
      <c r="E22" s="10">
        <f>ROUND(IPMT($C$3/$C$5, Table32[[#This Row],[Payment '#]], $C$4*$C$5, -$C$2),2)</f>
        <v>465543.08</v>
      </c>
      <c r="F22" s="29">
        <f>Table32[[#This Row],[Principal]]+Table32[[#This Row],[Interest]]</f>
        <v>562513.27</v>
      </c>
      <c r="G22" s="29"/>
      <c r="H22" s="10">
        <f>ROUND('PACE Even Payment Amort'!$C22*$C$6,2)</f>
        <v>6125.57</v>
      </c>
    </row>
    <row r="23" spans="1:8" s="1" customFormat="1" ht="15" x14ac:dyDescent="0.25">
      <c r="A23" s="24">
        <f>A21+1</f>
        <v>9</v>
      </c>
      <c r="B23" s="25">
        <f>EDATE(B21,6)</f>
        <v>47635</v>
      </c>
      <c r="C23" s="26">
        <f>C22</f>
        <v>6125566.9000000004</v>
      </c>
      <c r="D23" s="8">
        <f>ROUND(D22/2,2)</f>
        <v>48485.1</v>
      </c>
      <c r="E23" s="8">
        <f>E22-E24</f>
        <v>232771.54</v>
      </c>
      <c r="F23" s="26">
        <f>Table32[[#This Row],[Principal]]+Table32[[#This Row],[Interest]]</f>
        <v>281256.64</v>
      </c>
      <c r="G23" s="26">
        <f>Table32[[#This Row],[Beginning Balance]]-Table32[[#This Row],[Principal]]</f>
        <v>6077081.8000000007</v>
      </c>
      <c r="H23" s="8">
        <f>ROUND(H22/2,2)</f>
        <v>3062.79</v>
      </c>
    </row>
    <row r="24" spans="1:8" s="1" customFormat="1" ht="15" x14ac:dyDescent="0.25">
      <c r="A24" s="24">
        <f>A23+1</f>
        <v>10</v>
      </c>
      <c r="B24" s="25">
        <f>EDATE(B23,6)</f>
        <v>47818</v>
      </c>
      <c r="C24" s="26">
        <f>G23</f>
        <v>6077081.8000000007</v>
      </c>
      <c r="D24" s="8">
        <f>D22-D23</f>
        <v>48485.090000000004</v>
      </c>
      <c r="E24" s="8">
        <f>ROUND(E22/2,2)</f>
        <v>232771.54</v>
      </c>
      <c r="F24" s="26">
        <f>Table32[[#This Row],[Principal]]+Table32[[#This Row],[Interest]]</f>
        <v>281256.63</v>
      </c>
      <c r="G24" s="26">
        <f>Table32[[#This Row],[Beginning Balance]]-Table32[[#This Row],[Principal]]</f>
        <v>6028596.7100000009</v>
      </c>
      <c r="H24" s="8">
        <f>H22-H23</f>
        <v>3062.7799999999997</v>
      </c>
    </row>
    <row r="25" spans="1:8" s="1" customFormat="1" ht="15" hidden="1" x14ac:dyDescent="0.25">
      <c r="A25" s="27">
        <f>A22+1</f>
        <v>6</v>
      </c>
      <c r="B25" s="28">
        <f>EDATE(B22,12/$C$5)</f>
        <v>48000</v>
      </c>
      <c r="C25" s="29">
        <f t="shared" ref="C25:C85" si="0">G24</f>
        <v>6028596.7100000009</v>
      </c>
      <c r="D25" s="10">
        <f>ROUND(IF(PPMT($C$3/$C$5, Table32[[#This Row],[Payment '#]], $C$4*$C$5, -$C$2)&gt;Table32[[#This Row],[Beginning Balance]],Table32[[#This Row],[Beginning Balance]],PPMT($C$3/$C$5, Table32[[#This Row],[Payment '#]], $C$4*$C$5, -$C$2)),2)</f>
        <v>104339.93</v>
      </c>
      <c r="E25" s="10">
        <f>ROUND(IPMT($C$3/$C$5, Table32[[#This Row],[Payment '#]], $C$4*$C$5, -$C$2),2)</f>
        <v>458173.35</v>
      </c>
      <c r="F25" s="29">
        <f>Table32[[#This Row],[Principal]]+Table32[[#This Row],[Interest]]</f>
        <v>562513.28</v>
      </c>
      <c r="G25" s="29"/>
      <c r="H25" s="10">
        <f>ROUND('PACE Even Payment Amort'!$C25*$C$6,2)</f>
        <v>6028.6</v>
      </c>
    </row>
    <row r="26" spans="1:8" s="1" customFormat="1" ht="15" x14ac:dyDescent="0.25">
      <c r="A26" s="24">
        <f>A24+1</f>
        <v>11</v>
      </c>
      <c r="B26" s="25">
        <f>EDATE(B24,6)</f>
        <v>48000</v>
      </c>
      <c r="C26" s="26">
        <f>C25</f>
        <v>6028596.7100000009</v>
      </c>
      <c r="D26" s="20">
        <f>ROUND(D25/2,2)</f>
        <v>52169.97</v>
      </c>
      <c r="E26" s="20">
        <f>E25-E27</f>
        <v>229086.66999999998</v>
      </c>
      <c r="F26" s="26">
        <f>Table32[[#This Row],[Principal]]+Table32[[#This Row],[Interest]]</f>
        <v>281256.64</v>
      </c>
      <c r="G26" s="26">
        <f>Table32[[#This Row],[Beginning Balance]]-Table32[[#This Row],[Principal]]</f>
        <v>5976426.7400000012</v>
      </c>
      <c r="H26" s="20">
        <f>ROUND(H25/2,2)</f>
        <v>3014.3</v>
      </c>
    </row>
    <row r="27" spans="1:8" s="1" customFormat="1" ht="15" x14ac:dyDescent="0.25">
      <c r="A27" s="24">
        <f>A26+1</f>
        <v>12</v>
      </c>
      <c r="B27" s="25">
        <f>EDATE(B26,6)</f>
        <v>48183</v>
      </c>
      <c r="C27" s="26">
        <f>G26</f>
        <v>5976426.7400000012</v>
      </c>
      <c r="D27" s="20">
        <f>D25-D26</f>
        <v>52169.959999999992</v>
      </c>
      <c r="E27" s="20">
        <f>ROUND(E25/2,2)</f>
        <v>229086.68</v>
      </c>
      <c r="F27" s="26">
        <f>Table32[[#This Row],[Principal]]+Table32[[#This Row],[Interest]]</f>
        <v>281256.64</v>
      </c>
      <c r="G27" s="26">
        <f>Table32[[#This Row],[Beginning Balance]]-Table32[[#This Row],[Principal]]</f>
        <v>5924256.7800000012</v>
      </c>
      <c r="H27" s="20">
        <f>H25-H26</f>
        <v>3014.3</v>
      </c>
    </row>
    <row r="28" spans="1:8" s="1" customFormat="1" ht="15" hidden="1" x14ac:dyDescent="0.25">
      <c r="A28" s="27">
        <f>A25+1</f>
        <v>7</v>
      </c>
      <c r="B28" s="28">
        <f>EDATE(B25,12/$C$5)</f>
        <v>48366</v>
      </c>
      <c r="C28" s="29">
        <f t="shared" si="0"/>
        <v>5924256.7800000012</v>
      </c>
      <c r="D28" s="10">
        <f>ROUND(IF(PPMT($C$3/$C$5, Table32[[#This Row],[Payment '#]], $C$4*$C$5, -$C$2)&gt;Table32[[#This Row],[Beginning Balance]],Table32[[#This Row],[Beginning Balance]],PPMT($C$3/$C$5, Table32[[#This Row],[Payment '#]], $C$4*$C$5, -$C$2)),2)</f>
        <v>112269.75999999999</v>
      </c>
      <c r="E28" s="10">
        <f>ROUND(IPMT($C$3/$C$5, Table32[[#This Row],[Payment '#]], $C$4*$C$5, -$C$2),2)</f>
        <v>450243.51</v>
      </c>
      <c r="F28" s="29">
        <f>Table32[[#This Row],[Principal]]+Table32[[#This Row],[Interest]]</f>
        <v>562513.27</v>
      </c>
      <c r="G28" s="29"/>
      <c r="H28" s="10">
        <f>ROUND('PACE Even Payment Amort'!$C28*$C$6,2)</f>
        <v>5924.26</v>
      </c>
    </row>
    <row r="29" spans="1:8" s="1" customFormat="1" ht="15" x14ac:dyDescent="0.25">
      <c r="A29" s="24">
        <f>A27+1</f>
        <v>13</v>
      </c>
      <c r="B29" s="25">
        <f>EDATE(B27,6)</f>
        <v>48366</v>
      </c>
      <c r="C29" s="26">
        <f>C28</f>
        <v>5924256.7800000012</v>
      </c>
      <c r="D29" s="8">
        <f>ROUND(D28/2,2)</f>
        <v>56134.879999999997</v>
      </c>
      <c r="E29" s="8">
        <f>E28-E30</f>
        <v>225121.75</v>
      </c>
      <c r="F29" s="26">
        <f>Table32[[#This Row],[Principal]]+Table32[[#This Row],[Interest]]</f>
        <v>281256.63</v>
      </c>
      <c r="G29" s="26">
        <f>Table32[[#This Row],[Beginning Balance]]-Table32[[#This Row],[Principal]]</f>
        <v>5868121.9000000013</v>
      </c>
      <c r="H29" s="8">
        <f>ROUND(H28/2,2)</f>
        <v>2962.13</v>
      </c>
    </row>
    <row r="30" spans="1:8" s="1" customFormat="1" ht="15" x14ac:dyDescent="0.25">
      <c r="A30" s="24">
        <f>A29+1</f>
        <v>14</v>
      </c>
      <c r="B30" s="25">
        <f>EDATE(B29,6)</f>
        <v>48549</v>
      </c>
      <c r="C30" s="26">
        <f>G29</f>
        <v>5868121.9000000013</v>
      </c>
      <c r="D30" s="8">
        <f>D28-D29</f>
        <v>56134.879999999997</v>
      </c>
      <c r="E30" s="8">
        <f>ROUND(E28/2,2)</f>
        <v>225121.76</v>
      </c>
      <c r="F30" s="26">
        <f>Table32[[#This Row],[Principal]]+Table32[[#This Row],[Interest]]</f>
        <v>281256.64</v>
      </c>
      <c r="G30" s="26">
        <f>Table32[[#This Row],[Beginning Balance]]-Table32[[#This Row],[Principal]]</f>
        <v>5811987.0200000014</v>
      </c>
      <c r="H30" s="8">
        <f>H28-H29</f>
        <v>2962.13</v>
      </c>
    </row>
    <row r="31" spans="1:8" s="1" customFormat="1" ht="15" hidden="1" x14ac:dyDescent="0.25">
      <c r="A31" s="27">
        <f>A28+1</f>
        <v>8</v>
      </c>
      <c r="B31" s="28">
        <f>EDATE(B28,12/$C$5)</f>
        <v>48731</v>
      </c>
      <c r="C31" s="29">
        <f t="shared" si="0"/>
        <v>5811987.0200000014</v>
      </c>
      <c r="D31" s="10">
        <f>ROUND(IF(PPMT($C$3/$C$5, Table32[[#This Row],[Payment '#]], $C$4*$C$5, -$C$2)&gt;Table32[[#This Row],[Beginning Balance]],Table32[[#This Row],[Beginning Balance]],PPMT($C$3/$C$5, Table32[[#This Row],[Payment '#]], $C$4*$C$5, -$C$2)),2)</f>
        <v>120802.27</v>
      </c>
      <c r="E31" s="10">
        <f>ROUND(IPMT($C$3/$C$5, Table32[[#This Row],[Payment '#]], $C$4*$C$5, -$C$2),2)</f>
        <v>441711.01</v>
      </c>
      <c r="F31" s="29">
        <f>Table32[[#This Row],[Principal]]+Table32[[#This Row],[Interest]]</f>
        <v>562513.28</v>
      </c>
      <c r="G31" s="29"/>
      <c r="H31" s="10">
        <f>ROUND('PACE Even Payment Amort'!$C31*$C$6,2)</f>
        <v>5811.99</v>
      </c>
    </row>
    <row r="32" spans="1:8" s="1" customFormat="1" ht="15" x14ac:dyDescent="0.25">
      <c r="A32" s="24">
        <f>A30+1</f>
        <v>15</v>
      </c>
      <c r="B32" s="25">
        <f>EDATE(B30,6)</f>
        <v>48731</v>
      </c>
      <c r="C32" s="26">
        <f>C31</f>
        <v>5811987.0200000014</v>
      </c>
      <c r="D32" s="20">
        <f>ROUND(D31/2,2)</f>
        <v>60401.14</v>
      </c>
      <c r="E32" s="20">
        <f>E31-E33</f>
        <v>220855.5</v>
      </c>
      <c r="F32" s="26">
        <f>Table32[[#This Row],[Principal]]+Table32[[#This Row],[Interest]]</f>
        <v>281256.64</v>
      </c>
      <c r="G32" s="26">
        <f>Table32[[#This Row],[Beginning Balance]]-Table32[[#This Row],[Principal]]</f>
        <v>5751585.8800000018</v>
      </c>
      <c r="H32" s="20">
        <f>ROUND(H31/2,2)</f>
        <v>2906</v>
      </c>
    </row>
    <row r="33" spans="1:8" s="1" customFormat="1" ht="15" x14ac:dyDescent="0.25">
      <c r="A33" s="24">
        <f>A32+1</f>
        <v>16</v>
      </c>
      <c r="B33" s="25">
        <f>EDATE(B32,6)</f>
        <v>48914</v>
      </c>
      <c r="C33" s="26">
        <f>G32</f>
        <v>5751585.8800000018</v>
      </c>
      <c r="D33" s="20">
        <f>D31-D32</f>
        <v>60401.130000000005</v>
      </c>
      <c r="E33" s="20">
        <f>ROUND(E31/2,2)</f>
        <v>220855.51</v>
      </c>
      <c r="F33" s="26">
        <f>Table32[[#This Row],[Principal]]+Table32[[#This Row],[Interest]]</f>
        <v>281256.64</v>
      </c>
      <c r="G33" s="26">
        <f>Table32[[#This Row],[Beginning Balance]]-Table32[[#This Row],[Principal]]</f>
        <v>5691184.7500000019</v>
      </c>
      <c r="H33" s="20">
        <f>H31-H32</f>
        <v>2905.99</v>
      </c>
    </row>
    <row r="34" spans="1:8" s="1" customFormat="1" ht="15" hidden="1" x14ac:dyDescent="0.25">
      <c r="A34" s="27">
        <f>A31+1</f>
        <v>9</v>
      </c>
      <c r="B34" s="28">
        <f>EDATE(B31,12/$C$5)</f>
        <v>49096</v>
      </c>
      <c r="C34" s="29">
        <f t="shared" si="0"/>
        <v>5691184.7500000019</v>
      </c>
      <c r="D34" s="10">
        <f>ROUND(IF(PPMT($C$3/$C$5, Table32[[#This Row],[Payment '#]], $C$4*$C$5, -$C$2)&gt;Table32[[#This Row],[Beginning Balance]],Table32[[#This Row],[Beginning Balance]],PPMT($C$3/$C$5, Table32[[#This Row],[Payment '#]], $C$4*$C$5, -$C$2)),2)</f>
        <v>129983.24</v>
      </c>
      <c r="E34" s="10">
        <f>ROUND(IPMT($C$3/$C$5, Table32[[#This Row],[Payment '#]], $C$4*$C$5, -$C$2),2)</f>
        <v>432530.04</v>
      </c>
      <c r="F34" s="29">
        <f>Table32[[#This Row],[Principal]]+Table32[[#This Row],[Interest]]</f>
        <v>562513.28</v>
      </c>
      <c r="G34" s="29"/>
      <c r="H34" s="10">
        <f>ROUND('PACE Even Payment Amort'!$C34*$C$6,2)</f>
        <v>5691.18</v>
      </c>
    </row>
    <row r="35" spans="1:8" s="1" customFormat="1" ht="15" x14ac:dyDescent="0.25">
      <c r="A35" s="24">
        <f>A33+1</f>
        <v>17</v>
      </c>
      <c r="B35" s="25">
        <f>EDATE(B33,6)</f>
        <v>49096</v>
      </c>
      <c r="C35" s="26">
        <f>C34</f>
        <v>5691184.7500000019</v>
      </c>
      <c r="D35" s="8">
        <f>ROUND(D34/2,2)</f>
        <v>64991.62</v>
      </c>
      <c r="E35" s="8">
        <f>E34-E36</f>
        <v>216265.02</v>
      </c>
      <c r="F35" s="26">
        <f>Table32[[#This Row],[Principal]]+Table32[[#This Row],[Interest]]</f>
        <v>281256.64</v>
      </c>
      <c r="G35" s="26">
        <f>Table32[[#This Row],[Beginning Balance]]-Table32[[#This Row],[Principal]]</f>
        <v>5626193.1300000018</v>
      </c>
      <c r="H35" s="8">
        <f>ROUND(H34/2,2)</f>
        <v>2845.59</v>
      </c>
    </row>
    <row r="36" spans="1:8" s="1" customFormat="1" ht="15" x14ac:dyDescent="0.25">
      <c r="A36" s="24">
        <f>A35+1</f>
        <v>18</v>
      </c>
      <c r="B36" s="25">
        <f>EDATE(B35,6)</f>
        <v>49279</v>
      </c>
      <c r="C36" s="26">
        <f>G35</f>
        <v>5626193.1300000018</v>
      </c>
      <c r="D36" s="8">
        <f>D34-D35</f>
        <v>64991.62</v>
      </c>
      <c r="E36" s="8">
        <f>ROUND(E34/2,2)</f>
        <v>216265.02</v>
      </c>
      <c r="F36" s="26">
        <f>Table32[[#This Row],[Principal]]+Table32[[#This Row],[Interest]]</f>
        <v>281256.64</v>
      </c>
      <c r="G36" s="26">
        <f>Table32[[#This Row],[Beginning Balance]]-Table32[[#This Row],[Principal]]</f>
        <v>5561201.5100000016</v>
      </c>
      <c r="H36" s="8">
        <f>H34-H35</f>
        <v>2845.59</v>
      </c>
    </row>
    <row r="37" spans="1:8" s="1" customFormat="1" ht="15" hidden="1" x14ac:dyDescent="0.25">
      <c r="A37" s="27">
        <f>A34+1</f>
        <v>10</v>
      </c>
      <c r="B37" s="28">
        <f>EDATE(B34,12/$C$5)</f>
        <v>49461</v>
      </c>
      <c r="C37" s="29">
        <f t="shared" si="0"/>
        <v>5561201.5100000016</v>
      </c>
      <c r="D37" s="10">
        <f>ROUND(IF(PPMT($C$3/$C$5, Table32[[#This Row],[Payment '#]], $C$4*$C$5, -$C$2)&gt;Table32[[#This Row],[Beginning Balance]],Table32[[#This Row],[Beginning Balance]],PPMT($C$3/$C$5, Table32[[#This Row],[Payment '#]], $C$4*$C$5, -$C$2)),2)</f>
        <v>139861.96</v>
      </c>
      <c r="E37" s="10">
        <f>ROUND(IPMT($C$3/$C$5, Table32[[#This Row],[Payment '#]], $C$4*$C$5, -$C$2),2)</f>
        <v>422651.31</v>
      </c>
      <c r="F37" s="29">
        <f>Table32[[#This Row],[Principal]]+Table32[[#This Row],[Interest]]</f>
        <v>562513.27</v>
      </c>
      <c r="G37" s="29"/>
      <c r="H37" s="10">
        <f>ROUND('PACE Even Payment Amort'!$C37*$C$6,2)</f>
        <v>5561.2</v>
      </c>
    </row>
    <row r="38" spans="1:8" s="1" customFormat="1" ht="15" x14ac:dyDescent="0.25">
      <c r="A38" s="24">
        <f>A36+1</f>
        <v>19</v>
      </c>
      <c r="B38" s="25">
        <f>EDATE(B36,6)</f>
        <v>49461</v>
      </c>
      <c r="C38" s="26">
        <f>C37</f>
        <v>5561201.5100000016</v>
      </c>
      <c r="D38" s="20">
        <f>ROUND(D37/2,2)</f>
        <v>69930.98</v>
      </c>
      <c r="E38" s="20">
        <f>E37-E39</f>
        <v>211325.65</v>
      </c>
      <c r="F38" s="26">
        <f>Table32[[#This Row],[Principal]]+Table32[[#This Row],[Interest]]</f>
        <v>281256.63</v>
      </c>
      <c r="G38" s="26">
        <f>Table32[[#This Row],[Beginning Balance]]-Table32[[#This Row],[Principal]]</f>
        <v>5491270.5300000012</v>
      </c>
      <c r="H38" s="20">
        <f>ROUND(H37/2,2)</f>
        <v>2780.6</v>
      </c>
    </row>
    <row r="39" spans="1:8" s="1" customFormat="1" ht="15" x14ac:dyDescent="0.25">
      <c r="A39" s="24">
        <f>A38+1</f>
        <v>20</v>
      </c>
      <c r="B39" s="25">
        <f>EDATE(B38,6)</f>
        <v>49644</v>
      </c>
      <c r="C39" s="26">
        <f>G38</f>
        <v>5491270.5300000012</v>
      </c>
      <c r="D39" s="20">
        <f>D37-D38</f>
        <v>69930.98</v>
      </c>
      <c r="E39" s="20">
        <f>ROUND(E37/2,2)</f>
        <v>211325.66</v>
      </c>
      <c r="F39" s="26">
        <f>Table32[[#This Row],[Principal]]+Table32[[#This Row],[Interest]]</f>
        <v>281256.64</v>
      </c>
      <c r="G39" s="26">
        <f>Table32[[#This Row],[Beginning Balance]]-Table32[[#This Row],[Principal]]</f>
        <v>5421339.5500000007</v>
      </c>
      <c r="H39" s="20">
        <f>H37-H38</f>
        <v>2780.6</v>
      </c>
    </row>
    <row r="40" spans="1:8" s="1" customFormat="1" ht="15" hidden="1" x14ac:dyDescent="0.25">
      <c r="A40" s="27">
        <f>A37+1</f>
        <v>11</v>
      </c>
      <c r="B40" s="28">
        <f>EDATE(B37,12/$C$5)</f>
        <v>49827</v>
      </c>
      <c r="C40" s="29">
        <f t="shared" si="0"/>
        <v>5421339.5500000007</v>
      </c>
      <c r="D40" s="10">
        <f>ROUND(IF(PPMT($C$3/$C$5, Table32[[#This Row],[Payment '#]], $C$4*$C$5, -$C$2)&gt;Table32[[#This Row],[Beginning Balance]],Table32[[#This Row],[Beginning Balance]],PPMT($C$3/$C$5, Table32[[#This Row],[Payment '#]], $C$4*$C$5, -$C$2)),2)</f>
        <v>150491.47</v>
      </c>
      <c r="E40" s="10">
        <f>ROUND(IPMT($C$3/$C$5, Table32[[#This Row],[Payment '#]], $C$4*$C$5, -$C$2),2)</f>
        <v>412021.8</v>
      </c>
      <c r="F40" s="29">
        <f>Table32[[#This Row],[Principal]]+Table32[[#This Row],[Interest]]</f>
        <v>562513.27</v>
      </c>
      <c r="G40" s="29">
        <f>Table32[[#This Row],[Beginning Balance]]-Table32[[#This Row],[Principal]]</f>
        <v>5270848.080000001</v>
      </c>
      <c r="H40" s="10">
        <f>ROUND('PACE Even Payment Amort'!$C40*$C$6,2)</f>
        <v>5421.34</v>
      </c>
    </row>
    <row r="41" spans="1:8" s="1" customFormat="1" ht="15" x14ac:dyDescent="0.25">
      <c r="A41" s="24">
        <f>A39+1</f>
        <v>21</v>
      </c>
      <c r="B41" s="25">
        <f>EDATE(B39,6)</f>
        <v>49827</v>
      </c>
      <c r="C41" s="26">
        <f>C40</f>
        <v>5421339.5500000007</v>
      </c>
      <c r="D41" s="8">
        <f>ROUND(D40/2,2)</f>
        <v>75245.740000000005</v>
      </c>
      <c r="E41" s="8">
        <f>E40-E42</f>
        <v>206010.9</v>
      </c>
      <c r="F41" s="26">
        <f>Table32[[#This Row],[Principal]]+Table32[[#This Row],[Interest]]</f>
        <v>281256.64</v>
      </c>
      <c r="G41" s="26">
        <f>Table32[[#This Row],[Beginning Balance]]-Table32[[#This Row],[Principal]]</f>
        <v>5346093.8100000005</v>
      </c>
      <c r="H41" s="8">
        <f>ROUND(H40/2,2)</f>
        <v>2710.67</v>
      </c>
    </row>
    <row r="42" spans="1:8" s="1" customFormat="1" ht="15" x14ac:dyDescent="0.25">
      <c r="A42" s="24">
        <f>A41+1</f>
        <v>22</v>
      </c>
      <c r="B42" s="25">
        <f>EDATE(B41,6)</f>
        <v>50010</v>
      </c>
      <c r="C42" s="26">
        <f>G41</f>
        <v>5346093.8100000005</v>
      </c>
      <c r="D42" s="8">
        <f>D40-D41</f>
        <v>75245.73</v>
      </c>
      <c r="E42" s="8">
        <f>ROUND(E40/2,2)</f>
        <v>206010.9</v>
      </c>
      <c r="F42" s="26">
        <f>Table32[[#This Row],[Principal]]+Table32[[#This Row],[Interest]]</f>
        <v>281256.63</v>
      </c>
      <c r="G42" s="26">
        <f>Table32[[#This Row],[Beginning Balance]]-Table32[[#This Row],[Principal]]</f>
        <v>5270848.08</v>
      </c>
      <c r="H42" s="8">
        <f>H40-H41</f>
        <v>2710.67</v>
      </c>
    </row>
    <row r="43" spans="1:8" s="1" customFormat="1" ht="15" hidden="1" x14ac:dyDescent="0.25">
      <c r="A43" s="27">
        <f>A40+1</f>
        <v>12</v>
      </c>
      <c r="B43" s="28">
        <f>EDATE(B40,12/$C$5)</f>
        <v>50192</v>
      </c>
      <c r="C43" s="29">
        <f t="shared" si="0"/>
        <v>5270848.08</v>
      </c>
      <c r="D43" s="10">
        <f>ROUND(IF(PPMT($C$3/$C$5, Table32[[#This Row],[Payment '#]], $C$4*$C$5, -$C$2)&gt;Table32[[#This Row],[Beginning Balance]],Table32[[#This Row],[Beginning Balance]],PPMT($C$3/$C$5, Table32[[#This Row],[Payment '#]], $C$4*$C$5, -$C$2)),2)</f>
        <v>161928.82999999999</v>
      </c>
      <c r="E43" s="10">
        <f>ROUND(IPMT($C$3/$C$5, Table32[[#This Row],[Payment '#]], $C$4*$C$5, -$C$2),2)</f>
        <v>400584.45</v>
      </c>
      <c r="F43" s="29">
        <f>Table32[[#This Row],[Principal]]+Table32[[#This Row],[Interest]]</f>
        <v>562513.28</v>
      </c>
      <c r="G43" s="29">
        <f>Table32[[#This Row],[Beginning Balance]]-Table32[[#This Row],[Principal]]</f>
        <v>5108919.25</v>
      </c>
      <c r="H43" s="10">
        <f>ROUND('PACE Even Payment Amort'!$C43*$C$6,2)</f>
        <v>5270.85</v>
      </c>
    </row>
    <row r="44" spans="1:8" s="1" customFormat="1" ht="15" x14ac:dyDescent="0.25">
      <c r="A44" s="24">
        <f>A42+1</f>
        <v>23</v>
      </c>
      <c r="B44" s="25">
        <f>EDATE(B42,6)</f>
        <v>50192</v>
      </c>
      <c r="C44" s="26">
        <f>C43</f>
        <v>5270848.08</v>
      </c>
      <c r="D44" s="20">
        <f>ROUND(D43/2,2)</f>
        <v>80964.42</v>
      </c>
      <c r="E44" s="20">
        <f>E43-E45</f>
        <v>200292.22</v>
      </c>
      <c r="F44" s="26">
        <f>Table32[[#This Row],[Principal]]+Table32[[#This Row],[Interest]]</f>
        <v>281256.64</v>
      </c>
      <c r="G44" s="26">
        <f>Table32[[#This Row],[Beginning Balance]]-Table32[[#This Row],[Principal]]</f>
        <v>5189883.66</v>
      </c>
      <c r="H44" s="20">
        <f>ROUND(H43/2,2)</f>
        <v>2635.43</v>
      </c>
    </row>
    <row r="45" spans="1:8" s="1" customFormat="1" ht="15" x14ac:dyDescent="0.25">
      <c r="A45" s="24">
        <f>A44+1</f>
        <v>24</v>
      </c>
      <c r="B45" s="25">
        <f>EDATE(B44,6)</f>
        <v>50375</v>
      </c>
      <c r="C45" s="26">
        <f>G44</f>
        <v>5189883.66</v>
      </c>
      <c r="D45" s="20">
        <f>D43-D44</f>
        <v>80964.409999999989</v>
      </c>
      <c r="E45" s="20">
        <f>ROUND(E43/2,2)</f>
        <v>200292.23</v>
      </c>
      <c r="F45" s="26">
        <f>Table32[[#This Row],[Principal]]+Table32[[#This Row],[Interest]]</f>
        <v>281256.64</v>
      </c>
      <c r="G45" s="26">
        <f>Table32[[#This Row],[Beginning Balance]]-Table32[[#This Row],[Principal]]</f>
        <v>5108919.25</v>
      </c>
      <c r="H45" s="20">
        <f>H43-H44</f>
        <v>2635.4200000000005</v>
      </c>
    </row>
    <row r="46" spans="1:8" s="1" customFormat="1" ht="15" hidden="1" x14ac:dyDescent="0.25">
      <c r="A46" s="27">
        <f>A43+1</f>
        <v>13</v>
      </c>
      <c r="B46" s="28">
        <f>EDATE(B43,12/$C$5)</f>
        <v>50557</v>
      </c>
      <c r="C46" s="29">
        <f t="shared" si="0"/>
        <v>5108919.25</v>
      </c>
      <c r="D46" s="10">
        <f>ROUND(IF(PPMT($C$3/$C$5, Table32[[#This Row],[Payment '#]], $C$4*$C$5, -$C$2)&gt;Table32[[#This Row],[Beginning Balance]],Table32[[#This Row],[Beginning Balance]],PPMT($C$3/$C$5, Table32[[#This Row],[Payment '#]], $C$4*$C$5, -$C$2)),2)</f>
        <v>174235.42</v>
      </c>
      <c r="E46" s="10">
        <f>ROUND(IPMT($C$3/$C$5, Table32[[#This Row],[Payment '#]], $C$4*$C$5, -$C$2),2)</f>
        <v>388277.86</v>
      </c>
      <c r="F46" s="29">
        <f>Table32[[#This Row],[Principal]]+Table32[[#This Row],[Interest]]</f>
        <v>562513.28</v>
      </c>
      <c r="G46" s="29">
        <f>Table32[[#This Row],[Beginning Balance]]-Table32[[#This Row],[Principal]]</f>
        <v>4934683.83</v>
      </c>
      <c r="H46" s="10">
        <f>ROUND('PACE Even Payment Amort'!$C46*$C$6,2)</f>
        <v>5108.92</v>
      </c>
    </row>
    <row r="47" spans="1:8" s="1" customFormat="1" ht="15" x14ac:dyDescent="0.25">
      <c r="A47" s="24">
        <f>A45+1</f>
        <v>25</v>
      </c>
      <c r="B47" s="25">
        <f>EDATE(B45,6)</f>
        <v>50557</v>
      </c>
      <c r="C47" s="26">
        <f>C46</f>
        <v>5108919.25</v>
      </c>
      <c r="D47" s="8">
        <f>ROUND(D46/2,2)</f>
        <v>87117.71</v>
      </c>
      <c r="E47" s="8">
        <f>E46-E48</f>
        <v>194138.93</v>
      </c>
      <c r="F47" s="26">
        <f>Table32[[#This Row],[Principal]]+Table32[[#This Row],[Interest]]</f>
        <v>281256.64</v>
      </c>
      <c r="G47" s="26">
        <f>Table32[[#This Row],[Beginning Balance]]-Table32[[#This Row],[Principal]]</f>
        <v>5021801.54</v>
      </c>
      <c r="H47" s="8">
        <f>ROUND(H46/2,2)</f>
        <v>2554.46</v>
      </c>
    </row>
    <row r="48" spans="1:8" s="1" customFormat="1" ht="15" x14ac:dyDescent="0.25">
      <c r="A48" s="24">
        <f>A47+1</f>
        <v>26</v>
      </c>
      <c r="B48" s="25">
        <f>EDATE(B47,6)</f>
        <v>50740</v>
      </c>
      <c r="C48" s="26">
        <f>G47</f>
        <v>5021801.54</v>
      </c>
      <c r="D48" s="8">
        <f>D46-D47</f>
        <v>87117.71</v>
      </c>
      <c r="E48" s="8">
        <f>ROUND(E46/2,2)</f>
        <v>194138.93</v>
      </c>
      <c r="F48" s="26">
        <f>Table32[[#This Row],[Principal]]+Table32[[#This Row],[Interest]]</f>
        <v>281256.64</v>
      </c>
      <c r="G48" s="26">
        <f>Table32[[#This Row],[Beginning Balance]]-Table32[[#This Row],[Principal]]</f>
        <v>4934683.83</v>
      </c>
      <c r="H48" s="8">
        <f>H46-H47</f>
        <v>2554.46</v>
      </c>
    </row>
    <row r="49" spans="1:8" s="1" customFormat="1" ht="15" hidden="1" x14ac:dyDescent="0.25">
      <c r="A49" s="27">
        <f>A46+1</f>
        <v>14</v>
      </c>
      <c r="B49" s="28">
        <f>EDATE(B46,12/$C$5)</f>
        <v>50922</v>
      </c>
      <c r="C49" s="29">
        <f t="shared" si="0"/>
        <v>4934683.83</v>
      </c>
      <c r="D49" s="10">
        <f>ROUND(IF(PPMT($C$3/$C$5, Table32[[#This Row],[Payment '#]], $C$4*$C$5, -$C$2)&gt;Table32[[#This Row],[Beginning Balance]],Table32[[#This Row],[Beginning Balance]],PPMT($C$3/$C$5, Table32[[#This Row],[Payment '#]], $C$4*$C$5, -$C$2)),2)</f>
        <v>187477.31</v>
      </c>
      <c r="E49" s="10">
        <f>ROUND(IPMT($C$3/$C$5, Table32[[#This Row],[Payment '#]], $C$4*$C$5, -$C$2),2)</f>
        <v>375035.97</v>
      </c>
      <c r="F49" s="29">
        <f>Table32[[#This Row],[Principal]]+Table32[[#This Row],[Interest]]</f>
        <v>562513.28</v>
      </c>
      <c r="G49" s="29">
        <f>Table32[[#This Row],[Beginning Balance]]-Table32[[#This Row],[Principal]]</f>
        <v>4747206.5200000005</v>
      </c>
      <c r="H49" s="10">
        <f>ROUND('PACE Even Payment Amort'!$C49*$C$6,2)</f>
        <v>4934.68</v>
      </c>
    </row>
    <row r="50" spans="1:8" s="1" customFormat="1" ht="15" x14ac:dyDescent="0.25">
      <c r="A50" s="24">
        <f>A48+1</f>
        <v>27</v>
      </c>
      <c r="B50" s="25">
        <f>EDATE(B48,6)</f>
        <v>50922</v>
      </c>
      <c r="C50" s="26">
        <f>C49</f>
        <v>4934683.83</v>
      </c>
      <c r="D50" s="20">
        <f>ROUND(D49/2,2)</f>
        <v>93738.66</v>
      </c>
      <c r="E50" s="20">
        <f>E49-E51</f>
        <v>187517.97999999998</v>
      </c>
      <c r="F50" s="26">
        <f>Table32[[#This Row],[Principal]]+Table32[[#This Row],[Interest]]</f>
        <v>281256.64</v>
      </c>
      <c r="G50" s="26">
        <f>Table32[[#This Row],[Beginning Balance]]-Table32[[#This Row],[Principal]]</f>
        <v>4840945.17</v>
      </c>
      <c r="H50" s="20">
        <f>ROUND(H49/2,2)</f>
        <v>2467.34</v>
      </c>
    </row>
    <row r="51" spans="1:8" s="1" customFormat="1" ht="15" x14ac:dyDescent="0.25">
      <c r="A51" s="24">
        <f>A50+1</f>
        <v>28</v>
      </c>
      <c r="B51" s="25">
        <f>EDATE(B50,6)</f>
        <v>51105</v>
      </c>
      <c r="C51" s="26">
        <f>G50</f>
        <v>4840945.17</v>
      </c>
      <c r="D51" s="20">
        <f>D49-D50</f>
        <v>93738.65</v>
      </c>
      <c r="E51" s="20">
        <f>ROUND(E49/2,2)</f>
        <v>187517.99</v>
      </c>
      <c r="F51" s="26">
        <f>Table32[[#This Row],[Principal]]+Table32[[#This Row],[Interest]]</f>
        <v>281256.64</v>
      </c>
      <c r="G51" s="26">
        <f>Table32[[#This Row],[Beginning Balance]]-Table32[[#This Row],[Principal]]</f>
        <v>4747206.5199999996</v>
      </c>
      <c r="H51" s="20">
        <f>H49-H50</f>
        <v>2467.34</v>
      </c>
    </row>
    <row r="52" spans="1:8" s="1" customFormat="1" ht="15" hidden="1" x14ac:dyDescent="0.25">
      <c r="A52" s="27">
        <f>A49+1</f>
        <v>15</v>
      </c>
      <c r="B52" s="28">
        <f>EDATE(B49,12/$C$5)</f>
        <v>51288</v>
      </c>
      <c r="C52" s="29">
        <f t="shared" si="0"/>
        <v>4747206.5199999996</v>
      </c>
      <c r="D52" s="10">
        <f>ROUND(IF(PPMT($C$3/$C$5, Table32[[#This Row],[Payment '#]], $C$4*$C$5, -$C$2)&gt;Table32[[#This Row],[Beginning Balance]],Table32[[#This Row],[Beginning Balance]],PPMT($C$3/$C$5, Table32[[#This Row],[Payment '#]], $C$4*$C$5, -$C$2)),2)</f>
        <v>201725.58</v>
      </c>
      <c r="E52" s="10">
        <f>ROUND(IPMT($C$3/$C$5, Table32[[#This Row],[Payment '#]], $C$4*$C$5, -$C$2),2)</f>
        <v>360787.7</v>
      </c>
      <c r="F52" s="29">
        <f>Table32[[#This Row],[Principal]]+Table32[[#This Row],[Interest]]</f>
        <v>562513.28</v>
      </c>
      <c r="G52" s="29">
        <f>Table32[[#This Row],[Beginning Balance]]-Table32[[#This Row],[Principal]]</f>
        <v>4545480.9399999995</v>
      </c>
      <c r="H52" s="10">
        <f>ROUND('PACE Even Payment Amort'!$C52*$C$6,2)</f>
        <v>4747.21</v>
      </c>
    </row>
    <row r="53" spans="1:8" s="1" customFormat="1" ht="15" x14ac:dyDescent="0.25">
      <c r="A53" s="24">
        <f>A51+1</f>
        <v>29</v>
      </c>
      <c r="B53" s="25">
        <f>EDATE(B51,6)</f>
        <v>51288</v>
      </c>
      <c r="C53" s="26">
        <f>C52</f>
        <v>4747206.5199999996</v>
      </c>
      <c r="D53" s="8">
        <f>ROUND(D52/2,2)</f>
        <v>100862.79</v>
      </c>
      <c r="E53" s="8">
        <f>E52-E54</f>
        <v>180393.85</v>
      </c>
      <c r="F53" s="26">
        <f>Table32[[#This Row],[Principal]]+Table32[[#This Row],[Interest]]</f>
        <v>281256.64</v>
      </c>
      <c r="G53" s="26">
        <f>Table32[[#This Row],[Beginning Balance]]-Table32[[#This Row],[Principal]]</f>
        <v>4646343.7299999995</v>
      </c>
      <c r="H53" s="8">
        <f>ROUND(H52/2,2)</f>
        <v>2373.61</v>
      </c>
    </row>
    <row r="54" spans="1:8" s="1" customFormat="1" ht="15" x14ac:dyDescent="0.25">
      <c r="A54" s="24">
        <f>A53+1</f>
        <v>30</v>
      </c>
      <c r="B54" s="25">
        <f>EDATE(B53,6)</f>
        <v>51471</v>
      </c>
      <c r="C54" s="26">
        <f>G53</f>
        <v>4646343.7299999995</v>
      </c>
      <c r="D54" s="8">
        <f>D52-D53</f>
        <v>100862.79</v>
      </c>
      <c r="E54" s="8">
        <f>ROUND(E52/2,2)</f>
        <v>180393.85</v>
      </c>
      <c r="F54" s="26">
        <f>Table32[[#This Row],[Principal]]+Table32[[#This Row],[Interest]]</f>
        <v>281256.64</v>
      </c>
      <c r="G54" s="26">
        <f>Table32[[#This Row],[Beginning Balance]]-Table32[[#This Row],[Principal]]</f>
        <v>4545480.9399999995</v>
      </c>
      <c r="H54" s="8">
        <f>H52-H53</f>
        <v>2373.6</v>
      </c>
    </row>
    <row r="55" spans="1:8" s="1" customFormat="1" ht="15" hidden="1" x14ac:dyDescent="0.25">
      <c r="A55" s="27">
        <f>A52+1</f>
        <v>16</v>
      </c>
      <c r="B55" s="28">
        <f>EDATE(B52,12/$C$5)</f>
        <v>51653</v>
      </c>
      <c r="C55" s="29">
        <f t="shared" si="0"/>
        <v>4545480.9399999995</v>
      </c>
      <c r="D55" s="10">
        <f>ROUND(IF(PPMT($C$3/$C$5, Table32[[#This Row],[Payment '#]], $C$4*$C$5, -$C$2)&gt;Table32[[#This Row],[Beginning Balance]],Table32[[#This Row],[Beginning Balance]],PPMT($C$3/$C$5, Table32[[#This Row],[Payment '#]], $C$4*$C$5, -$C$2)),2)</f>
        <v>217056.73</v>
      </c>
      <c r="E55" s="10">
        <f>ROUND(IPMT($C$3/$C$5, Table32[[#This Row],[Payment '#]], $C$4*$C$5, -$C$2),2)</f>
        <v>345456.55</v>
      </c>
      <c r="F55" s="29">
        <f>Table32[[#This Row],[Principal]]+Table32[[#This Row],[Interest]]</f>
        <v>562513.28</v>
      </c>
      <c r="G55" s="29">
        <f>Table32[[#This Row],[Beginning Balance]]-Table32[[#This Row],[Principal]]</f>
        <v>4328424.209999999</v>
      </c>
      <c r="H55" s="10">
        <f>ROUND('PACE Even Payment Amort'!$C55*$C$6,2)</f>
        <v>4545.4799999999996</v>
      </c>
    </row>
    <row r="56" spans="1:8" s="1" customFormat="1" ht="15" x14ac:dyDescent="0.25">
      <c r="A56" s="24">
        <f>A54+1</f>
        <v>31</v>
      </c>
      <c r="B56" s="25">
        <f>EDATE(B54,6)</f>
        <v>51653</v>
      </c>
      <c r="C56" s="26">
        <f>C55</f>
        <v>4545480.9399999995</v>
      </c>
      <c r="D56" s="20">
        <f>ROUND(D55/2,2)</f>
        <v>108528.37</v>
      </c>
      <c r="E56" s="20">
        <f>E55-E57</f>
        <v>172728.27</v>
      </c>
      <c r="F56" s="26">
        <f>Table32[[#This Row],[Principal]]+Table32[[#This Row],[Interest]]</f>
        <v>281256.64</v>
      </c>
      <c r="G56" s="26">
        <f>Table32[[#This Row],[Beginning Balance]]-Table32[[#This Row],[Principal]]</f>
        <v>4436952.5699999994</v>
      </c>
      <c r="H56" s="20">
        <f>ROUND(H55/2,2)</f>
        <v>2272.7399999999998</v>
      </c>
    </row>
    <row r="57" spans="1:8" s="1" customFormat="1" ht="15" x14ac:dyDescent="0.25">
      <c r="A57" s="24">
        <f>A56+1</f>
        <v>32</v>
      </c>
      <c r="B57" s="25">
        <f>EDATE(B56,6)</f>
        <v>51836</v>
      </c>
      <c r="C57" s="26">
        <f>G56</f>
        <v>4436952.5699999994</v>
      </c>
      <c r="D57" s="20">
        <f>D55-D56</f>
        <v>108528.36000000002</v>
      </c>
      <c r="E57" s="20">
        <f>ROUND(E55/2,2)</f>
        <v>172728.28</v>
      </c>
      <c r="F57" s="26">
        <f>Table32[[#This Row],[Principal]]+Table32[[#This Row],[Interest]]</f>
        <v>281256.64</v>
      </c>
      <c r="G57" s="26">
        <f>Table32[[#This Row],[Beginning Balance]]-Table32[[#This Row],[Principal]]</f>
        <v>4328424.209999999</v>
      </c>
      <c r="H57" s="20">
        <f>H55-H56</f>
        <v>2272.7399999999998</v>
      </c>
    </row>
    <row r="58" spans="1:8" s="1" customFormat="1" ht="15" hidden="1" x14ac:dyDescent="0.25">
      <c r="A58" s="27">
        <f>A55+1</f>
        <v>17</v>
      </c>
      <c r="B58" s="28">
        <f>EDATE(B55,12/$C$5)</f>
        <v>52018</v>
      </c>
      <c r="C58" s="29">
        <f t="shared" si="0"/>
        <v>4328424.209999999</v>
      </c>
      <c r="D58" s="10">
        <f>ROUND(IF(PPMT($C$3/$C$5, Table32[[#This Row],[Payment '#]], $C$4*$C$5, -$C$2)&gt;Table32[[#This Row],[Beginning Balance]],Table32[[#This Row],[Beginning Balance]],PPMT($C$3/$C$5, Table32[[#This Row],[Payment '#]], $C$4*$C$5, -$C$2)),2)</f>
        <v>233553.04</v>
      </c>
      <c r="E58" s="10">
        <f>ROUND(IPMT($C$3/$C$5, Table32[[#This Row],[Payment '#]], $C$4*$C$5, -$C$2),2)</f>
        <v>328960.24</v>
      </c>
      <c r="F58" s="29">
        <f>Table32[[#This Row],[Principal]]+Table32[[#This Row],[Interest]]</f>
        <v>562513.28</v>
      </c>
      <c r="G58" s="29">
        <f>Table32[[#This Row],[Beginning Balance]]-Table32[[#This Row],[Principal]]</f>
        <v>4094871.169999999</v>
      </c>
      <c r="H58" s="9">
        <f>ROUND('PACE Even Payment Amort'!$C58*$C$6,2)</f>
        <v>4328.42</v>
      </c>
    </row>
    <row r="59" spans="1:8" s="1" customFormat="1" ht="15" x14ac:dyDescent="0.25">
      <c r="A59" s="24">
        <f>A57+1</f>
        <v>33</v>
      </c>
      <c r="B59" s="25">
        <f>EDATE(B57,6)</f>
        <v>52018</v>
      </c>
      <c r="C59" s="26">
        <f>C58</f>
        <v>4328424.209999999</v>
      </c>
      <c r="D59" s="8">
        <f>ROUND(D58/2,2)</f>
        <v>116776.52</v>
      </c>
      <c r="E59" s="8">
        <f>E58-E60</f>
        <v>164480.12</v>
      </c>
      <c r="F59" s="26">
        <f>Table32[[#This Row],[Principal]]+Table32[[#This Row],[Interest]]</f>
        <v>281256.64</v>
      </c>
      <c r="G59" s="26">
        <f>Table32[[#This Row],[Beginning Balance]]-Table32[[#This Row],[Principal]]</f>
        <v>4211647.6899999995</v>
      </c>
      <c r="H59" s="8">
        <f>ROUND(H58/2,2)</f>
        <v>2164.21</v>
      </c>
    </row>
    <row r="60" spans="1:8" s="1" customFormat="1" ht="15" x14ac:dyDescent="0.25">
      <c r="A60" s="24">
        <f>A59+1</f>
        <v>34</v>
      </c>
      <c r="B60" s="25">
        <f>EDATE(B59,6)</f>
        <v>52201</v>
      </c>
      <c r="C60" s="26">
        <f>G59</f>
        <v>4211647.6899999995</v>
      </c>
      <c r="D60" s="8">
        <f>D58-D59</f>
        <v>116776.52</v>
      </c>
      <c r="E60" s="8">
        <f>ROUND(E58/2,2)</f>
        <v>164480.12</v>
      </c>
      <c r="F60" s="26">
        <f>Table32[[#This Row],[Principal]]+Table32[[#This Row],[Interest]]</f>
        <v>281256.64</v>
      </c>
      <c r="G60" s="26">
        <f>Table32[[#This Row],[Beginning Balance]]-Table32[[#This Row],[Principal]]</f>
        <v>4094871.1699999995</v>
      </c>
      <c r="H60" s="8">
        <f>H58-H59</f>
        <v>2164.21</v>
      </c>
    </row>
    <row r="61" spans="1:8" s="1" customFormat="1" ht="15" hidden="1" x14ac:dyDescent="0.25">
      <c r="A61" s="27">
        <f>A58+1</f>
        <v>18</v>
      </c>
      <c r="B61" s="28">
        <f>EDATE(B58,12/$C$5)</f>
        <v>52383</v>
      </c>
      <c r="C61" s="29">
        <f t="shared" si="0"/>
        <v>4094871.1699999995</v>
      </c>
      <c r="D61" s="10">
        <f>ROUND(IF(PPMT($C$3/$C$5, Table32[[#This Row],[Payment '#]], $C$4*$C$5, -$C$2)&gt;Table32[[#This Row],[Beginning Balance]],Table32[[#This Row],[Beginning Balance]],PPMT($C$3/$C$5, Table32[[#This Row],[Payment '#]], $C$4*$C$5, -$C$2)),2)</f>
        <v>251303.07</v>
      </c>
      <c r="E61" s="10">
        <f>ROUND(IPMT($C$3/$C$5, Table32[[#This Row],[Payment '#]], $C$4*$C$5, -$C$2),2)</f>
        <v>311210.21000000002</v>
      </c>
      <c r="F61" s="29">
        <f>Table32[[#This Row],[Principal]]+Table32[[#This Row],[Interest]]</f>
        <v>562513.28</v>
      </c>
      <c r="G61" s="29">
        <f>Table32[[#This Row],[Beginning Balance]]-Table32[[#This Row],[Principal]]</f>
        <v>3843568.0999999996</v>
      </c>
      <c r="H61" s="9">
        <f>ROUND('PACE Even Payment Amort'!$C61*$C$6,2)</f>
        <v>4094.87</v>
      </c>
    </row>
    <row r="62" spans="1:8" s="1" customFormat="1" ht="15" x14ac:dyDescent="0.25">
      <c r="A62" s="24">
        <f>A60+1</f>
        <v>35</v>
      </c>
      <c r="B62" s="25">
        <f>EDATE(B60,6)</f>
        <v>52383</v>
      </c>
      <c r="C62" s="26">
        <f>C61</f>
        <v>4094871.1699999995</v>
      </c>
      <c r="D62" s="20">
        <f>ROUND(D61/2,2)</f>
        <v>125651.54</v>
      </c>
      <c r="E62" s="20">
        <f>E61-E63</f>
        <v>155605.10000000003</v>
      </c>
      <c r="F62" s="26">
        <f>Table32[[#This Row],[Principal]]+Table32[[#This Row],[Interest]]</f>
        <v>281256.64</v>
      </c>
      <c r="G62" s="26">
        <f>Table32[[#This Row],[Beginning Balance]]-Table32[[#This Row],[Principal]]</f>
        <v>3969219.6299999994</v>
      </c>
      <c r="H62" s="20">
        <f>ROUND(H61/2,2)</f>
        <v>2047.44</v>
      </c>
    </row>
    <row r="63" spans="1:8" s="1" customFormat="1" ht="15" x14ac:dyDescent="0.25">
      <c r="A63" s="24">
        <f>A62+1</f>
        <v>36</v>
      </c>
      <c r="B63" s="25">
        <f>EDATE(B62,6)</f>
        <v>52566</v>
      </c>
      <c r="C63" s="26">
        <f>G62</f>
        <v>3969219.6299999994</v>
      </c>
      <c r="D63" s="20">
        <f>D61-D62</f>
        <v>125651.53000000001</v>
      </c>
      <c r="E63" s="20">
        <f>ROUND(E61/2,2)</f>
        <v>155605.10999999999</v>
      </c>
      <c r="F63" s="26">
        <f>Table32[[#This Row],[Principal]]+Table32[[#This Row],[Interest]]</f>
        <v>281256.64</v>
      </c>
      <c r="G63" s="26">
        <f>Table32[[#This Row],[Beginning Balance]]-Table32[[#This Row],[Principal]]</f>
        <v>3843568.0999999996</v>
      </c>
      <c r="H63" s="20">
        <f>H61-H62</f>
        <v>2047.4299999999998</v>
      </c>
    </row>
    <row r="64" spans="1:8" s="1" customFormat="1" ht="15" hidden="1" x14ac:dyDescent="0.25">
      <c r="A64" s="27">
        <f>A61+1</f>
        <v>19</v>
      </c>
      <c r="B64" s="28">
        <f>EDATE(B61,12/$C$5)</f>
        <v>52749</v>
      </c>
      <c r="C64" s="29">
        <f t="shared" si="0"/>
        <v>3843568.0999999996</v>
      </c>
      <c r="D64" s="10">
        <f>ROUND(IF(PPMT($C$3/$C$5, Table32[[#This Row],[Payment '#]], $C$4*$C$5, -$C$2)&gt;Table32[[#This Row],[Beginning Balance]],Table32[[#This Row],[Beginning Balance]],PPMT($C$3/$C$5, Table32[[#This Row],[Payment '#]], $C$4*$C$5, -$C$2)),2)</f>
        <v>270402.09999999998</v>
      </c>
      <c r="E64" s="10">
        <f>ROUND(IPMT($C$3/$C$5, Table32[[#This Row],[Payment '#]], $C$4*$C$5, -$C$2),2)</f>
        <v>292111.18</v>
      </c>
      <c r="F64" s="29">
        <f>Table32[[#This Row],[Principal]]+Table32[[#This Row],[Interest]]</f>
        <v>562513.28</v>
      </c>
      <c r="G64" s="29">
        <f>Table32[[#This Row],[Beginning Balance]]-Table32[[#This Row],[Principal]]</f>
        <v>3573165.9999999995</v>
      </c>
      <c r="H64" s="10">
        <f>ROUND('PACE Even Payment Amort'!$C64*$C$6,2)</f>
        <v>3843.57</v>
      </c>
    </row>
    <row r="65" spans="1:8" s="1" customFormat="1" ht="15" x14ac:dyDescent="0.25">
      <c r="A65" s="24">
        <f>A63+1</f>
        <v>37</v>
      </c>
      <c r="B65" s="25">
        <f>EDATE(B63,6)</f>
        <v>52749</v>
      </c>
      <c r="C65" s="26">
        <f>C64</f>
        <v>3843568.0999999996</v>
      </c>
      <c r="D65" s="8">
        <f>ROUND(D64/2,2)</f>
        <v>135201.04999999999</v>
      </c>
      <c r="E65" s="8">
        <f>E64-E66</f>
        <v>146055.59</v>
      </c>
      <c r="F65" s="26">
        <f>Table32[[#This Row],[Principal]]+Table32[[#This Row],[Interest]]</f>
        <v>281256.64</v>
      </c>
      <c r="G65" s="26">
        <f>Table32[[#This Row],[Beginning Balance]]-Table32[[#This Row],[Principal]]</f>
        <v>3708367.05</v>
      </c>
      <c r="H65" s="8">
        <f>ROUND(H64/2,2)</f>
        <v>1921.79</v>
      </c>
    </row>
    <row r="66" spans="1:8" s="1" customFormat="1" ht="15" x14ac:dyDescent="0.25">
      <c r="A66" s="24">
        <f>A65+1</f>
        <v>38</v>
      </c>
      <c r="B66" s="25">
        <f>EDATE(B65,6)</f>
        <v>52932</v>
      </c>
      <c r="C66" s="26">
        <f>G65</f>
        <v>3708367.05</v>
      </c>
      <c r="D66" s="8">
        <f>D64-D65</f>
        <v>135201.04999999999</v>
      </c>
      <c r="E66" s="8">
        <f>ROUND(E64/2,2)</f>
        <v>146055.59</v>
      </c>
      <c r="F66" s="26">
        <f>Table32[[#This Row],[Principal]]+Table32[[#This Row],[Interest]]</f>
        <v>281256.64</v>
      </c>
      <c r="G66" s="26">
        <f>Table32[[#This Row],[Beginning Balance]]-Table32[[#This Row],[Principal]]</f>
        <v>3573166</v>
      </c>
      <c r="H66" s="8">
        <f>H64-H65</f>
        <v>1921.7800000000002</v>
      </c>
    </row>
    <row r="67" spans="1:8" s="1" customFormat="1" ht="15" hidden="1" x14ac:dyDescent="0.25">
      <c r="A67" s="27">
        <f>A64+1</f>
        <v>20</v>
      </c>
      <c r="B67" s="28">
        <f>EDATE(B64,12/$C$5)</f>
        <v>53114</v>
      </c>
      <c r="C67" s="29">
        <f t="shared" si="0"/>
        <v>3573166</v>
      </c>
      <c r="D67" s="10">
        <f>ROUND(IF(PPMT($C$3/$C$5, Table32[[#This Row],[Payment '#]], $C$4*$C$5, -$C$2)&gt;Table32[[#This Row],[Beginning Balance]],Table32[[#This Row],[Beginning Balance]],PPMT($C$3/$C$5, Table32[[#This Row],[Payment '#]], $C$4*$C$5, -$C$2)),2)</f>
        <v>290952.65999999997</v>
      </c>
      <c r="E67" s="10">
        <f>ROUND(IPMT($C$3/$C$5, Table32[[#This Row],[Payment '#]], $C$4*$C$5, -$C$2),2)</f>
        <v>271560.62</v>
      </c>
      <c r="F67" s="29">
        <f>Table32[[#This Row],[Principal]]+Table32[[#This Row],[Interest]]</f>
        <v>562513.28</v>
      </c>
      <c r="G67" s="29">
        <f>Table32[[#This Row],[Beginning Balance]]-Table32[[#This Row],[Principal]]</f>
        <v>3282213.34</v>
      </c>
      <c r="H67" s="10">
        <f>ROUND('PACE Even Payment Amort'!$C67*$C$6,2)</f>
        <v>3573.17</v>
      </c>
    </row>
    <row r="68" spans="1:8" s="1" customFormat="1" ht="15" x14ac:dyDescent="0.25">
      <c r="A68" s="24">
        <f>A66+1</f>
        <v>39</v>
      </c>
      <c r="B68" s="25">
        <f>EDATE(B66,6)</f>
        <v>53114</v>
      </c>
      <c r="C68" s="26">
        <f>C67</f>
        <v>3573166</v>
      </c>
      <c r="D68" s="20">
        <f>ROUND(D67/2,2)</f>
        <v>145476.32999999999</v>
      </c>
      <c r="E68" s="20">
        <f>E67-E69</f>
        <v>135780.31</v>
      </c>
      <c r="F68" s="26">
        <f>Table32[[#This Row],[Principal]]+Table32[[#This Row],[Interest]]</f>
        <v>281256.64</v>
      </c>
      <c r="G68" s="26">
        <f>Table32[[#This Row],[Beginning Balance]]-Table32[[#This Row],[Principal]]</f>
        <v>3427689.67</v>
      </c>
      <c r="H68" s="20">
        <f>ROUND(H67/2,2)</f>
        <v>1786.59</v>
      </c>
    </row>
    <row r="69" spans="1:8" s="1" customFormat="1" ht="15" x14ac:dyDescent="0.25">
      <c r="A69" s="24">
        <f>A68+1</f>
        <v>40</v>
      </c>
      <c r="B69" s="25">
        <f>EDATE(B68,6)</f>
        <v>53297</v>
      </c>
      <c r="C69" s="26">
        <f>G68</f>
        <v>3427689.67</v>
      </c>
      <c r="D69" s="20">
        <f>D67-D68</f>
        <v>145476.32999999999</v>
      </c>
      <c r="E69" s="20">
        <f>ROUND(E67/2,2)</f>
        <v>135780.31</v>
      </c>
      <c r="F69" s="26">
        <f>Table32[[#This Row],[Principal]]+Table32[[#This Row],[Interest]]</f>
        <v>281256.64</v>
      </c>
      <c r="G69" s="26">
        <f>Table32[[#This Row],[Beginning Balance]]-Table32[[#This Row],[Principal]]</f>
        <v>3282213.34</v>
      </c>
      <c r="H69" s="20">
        <f>H67-H68</f>
        <v>1786.5800000000002</v>
      </c>
    </row>
    <row r="70" spans="1:8" s="1" customFormat="1" ht="15" hidden="1" x14ac:dyDescent="0.25">
      <c r="A70" s="27">
        <f>A67+1</f>
        <v>21</v>
      </c>
      <c r="B70" s="28">
        <f>EDATE(B67,12/$C$5)</f>
        <v>53479</v>
      </c>
      <c r="C70" s="29">
        <f t="shared" si="0"/>
        <v>3282213.34</v>
      </c>
      <c r="D70" s="10">
        <f>ROUND(IF(PPMT($C$3/$C$5, Table32[[#This Row],[Payment '#]], $C$4*$C$5, -$C$2)&gt;Table32[[#This Row],[Beginning Balance]],Table32[[#This Row],[Beginning Balance]],PPMT($C$3/$C$5, Table32[[#This Row],[Payment '#]], $C$4*$C$5, -$C$2)),2)</f>
        <v>313065.07</v>
      </c>
      <c r="E70" s="10">
        <f>ROUND(IPMT($C$3/$C$5, Table32[[#This Row],[Payment '#]], $C$4*$C$5, -$C$2),2)</f>
        <v>249448.21</v>
      </c>
      <c r="F70" s="29">
        <f>Table32[[#This Row],[Principal]]+Table32[[#This Row],[Interest]]</f>
        <v>562513.28</v>
      </c>
      <c r="G70" s="29">
        <f>Table32[[#This Row],[Beginning Balance]]-Table32[[#This Row],[Principal]]</f>
        <v>2969148.27</v>
      </c>
      <c r="H70" s="10">
        <f>ROUND('PACE Even Payment Amort'!$C70*$C$6,2)</f>
        <v>3282.21</v>
      </c>
    </row>
    <row r="71" spans="1:8" s="1" customFormat="1" ht="15" x14ac:dyDescent="0.25">
      <c r="A71" s="24">
        <f>A69+1</f>
        <v>41</v>
      </c>
      <c r="B71" s="25">
        <f>EDATE(B69,6)</f>
        <v>53479</v>
      </c>
      <c r="C71" s="26">
        <f>C70</f>
        <v>3282213.34</v>
      </c>
      <c r="D71" s="8">
        <f>ROUND(D70/2,2)</f>
        <v>156532.54</v>
      </c>
      <c r="E71" s="8">
        <f>E70-E72</f>
        <v>124724.09999999999</v>
      </c>
      <c r="F71" s="26">
        <f>Table32[[#This Row],[Principal]]+Table32[[#This Row],[Interest]]</f>
        <v>281256.64</v>
      </c>
      <c r="G71" s="26">
        <f>Table32[[#This Row],[Beginning Balance]]-Table32[[#This Row],[Principal]]</f>
        <v>3125680.8</v>
      </c>
      <c r="H71" s="8">
        <f>ROUND(H70/2,2)</f>
        <v>1641.11</v>
      </c>
    </row>
    <row r="72" spans="1:8" s="1" customFormat="1" ht="15" x14ac:dyDescent="0.25">
      <c r="A72" s="24">
        <f>A71+1</f>
        <v>42</v>
      </c>
      <c r="B72" s="25">
        <f>EDATE(B71,6)</f>
        <v>53662</v>
      </c>
      <c r="C72" s="26">
        <f>G71</f>
        <v>3125680.8</v>
      </c>
      <c r="D72" s="8">
        <f>D70-D71</f>
        <v>156532.53</v>
      </c>
      <c r="E72" s="8">
        <f>ROUND(E70/2,2)</f>
        <v>124724.11</v>
      </c>
      <c r="F72" s="26">
        <f>Table32[[#This Row],[Principal]]+Table32[[#This Row],[Interest]]</f>
        <v>281256.64</v>
      </c>
      <c r="G72" s="26">
        <f>Table32[[#This Row],[Beginning Balance]]-Table32[[#This Row],[Principal]]</f>
        <v>2969148.27</v>
      </c>
      <c r="H72" s="8">
        <f>H70-H71</f>
        <v>1641.1000000000001</v>
      </c>
    </row>
    <row r="73" spans="1:8" s="1" customFormat="1" ht="15" hidden="1" x14ac:dyDescent="0.25">
      <c r="A73" s="27">
        <f>A70+1</f>
        <v>22</v>
      </c>
      <c r="B73" s="28">
        <f>EDATE(B70,12/$C$5)</f>
        <v>53844</v>
      </c>
      <c r="C73" s="29">
        <f t="shared" si="0"/>
        <v>2969148.27</v>
      </c>
      <c r="D73" s="10">
        <f>ROUND(IF(PPMT($C$3/$C$5, Table32[[#This Row],[Payment '#]], $C$4*$C$5, -$C$2)&gt;Table32[[#This Row],[Beginning Balance]],Table32[[#This Row],[Beginning Balance]],PPMT($C$3/$C$5, Table32[[#This Row],[Payment '#]], $C$4*$C$5, -$C$2)),2)</f>
        <v>336858.01</v>
      </c>
      <c r="E73" s="10">
        <f>ROUND(IPMT($C$3/$C$5, Table32[[#This Row],[Payment '#]], $C$4*$C$5, -$C$2),2)</f>
        <v>225655.27</v>
      </c>
      <c r="F73" s="29">
        <f>Table32[[#This Row],[Principal]]+Table32[[#This Row],[Interest]]</f>
        <v>562513.28</v>
      </c>
      <c r="G73" s="29">
        <f>Table32[[#This Row],[Beginning Balance]]-Table32[[#This Row],[Principal]]</f>
        <v>2632290.2599999998</v>
      </c>
      <c r="H73" s="10">
        <f>ROUND('PACE Even Payment Amort'!$C73*$C$6,2)</f>
        <v>2969.15</v>
      </c>
    </row>
    <row r="74" spans="1:8" s="1" customFormat="1" ht="15" x14ac:dyDescent="0.25">
      <c r="A74" s="24">
        <f>A72+1</f>
        <v>43</v>
      </c>
      <c r="B74" s="25">
        <f>EDATE(B72,6)</f>
        <v>53844</v>
      </c>
      <c r="C74" s="26">
        <f>C73</f>
        <v>2969148.27</v>
      </c>
      <c r="D74" s="20">
        <f>ROUND(D73/2,2)</f>
        <v>168429.01</v>
      </c>
      <c r="E74" s="20">
        <f>E73-E75</f>
        <v>112827.62999999999</v>
      </c>
      <c r="F74" s="26">
        <f>Table32[[#This Row],[Principal]]+Table32[[#This Row],[Interest]]</f>
        <v>281256.64</v>
      </c>
      <c r="G74" s="26">
        <f>Table32[[#This Row],[Beginning Balance]]-Table32[[#This Row],[Principal]]</f>
        <v>2800719.26</v>
      </c>
      <c r="H74" s="20">
        <f>ROUND(H73/2,2)</f>
        <v>1484.58</v>
      </c>
    </row>
    <row r="75" spans="1:8" s="1" customFormat="1" ht="15" x14ac:dyDescent="0.25">
      <c r="A75" s="24">
        <f>A74+1</f>
        <v>44</v>
      </c>
      <c r="B75" s="25">
        <f>EDATE(B74,6)</f>
        <v>54027</v>
      </c>
      <c r="C75" s="26">
        <f>G74</f>
        <v>2800719.26</v>
      </c>
      <c r="D75" s="20">
        <f>D73-D74</f>
        <v>168429</v>
      </c>
      <c r="E75" s="20">
        <f>ROUND(E73/2,2)</f>
        <v>112827.64</v>
      </c>
      <c r="F75" s="26">
        <f>Table32[[#This Row],[Principal]]+Table32[[#This Row],[Interest]]</f>
        <v>281256.64</v>
      </c>
      <c r="G75" s="26">
        <f>Table32[[#This Row],[Beginning Balance]]-Table32[[#This Row],[Principal]]</f>
        <v>2632290.2599999998</v>
      </c>
      <c r="H75" s="20">
        <f>H73-H74</f>
        <v>1484.5700000000002</v>
      </c>
    </row>
    <row r="76" spans="1:8" s="1" customFormat="1" ht="15" hidden="1" x14ac:dyDescent="0.25">
      <c r="A76" s="27">
        <f>A73+1</f>
        <v>23</v>
      </c>
      <c r="B76" s="28">
        <f>EDATE(B73,12/$C$5)</f>
        <v>54210</v>
      </c>
      <c r="C76" s="29">
        <f t="shared" si="0"/>
        <v>2632290.2599999998</v>
      </c>
      <c r="D76" s="10">
        <f>ROUND(IF(PPMT($C$3/$C$5, Table32[[#This Row],[Payment '#]], $C$4*$C$5, -$C$2)&gt;Table32[[#This Row],[Beginning Balance]],Table32[[#This Row],[Beginning Balance]],PPMT($C$3/$C$5, Table32[[#This Row],[Payment '#]], $C$4*$C$5, -$C$2)),2)</f>
        <v>362459.22</v>
      </c>
      <c r="E76" s="10">
        <f>ROUND(IPMT($C$3/$C$5, Table32[[#This Row],[Payment '#]], $C$4*$C$5, -$C$2),2)</f>
        <v>200054.06</v>
      </c>
      <c r="F76" s="29">
        <f>Table32[[#This Row],[Principal]]+Table32[[#This Row],[Interest]]</f>
        <v>562513.28</v>
      </c>
      <c r="G76" s="29">
        <f>Table32[[#This Row],[Beginning Balance]]-Table32[[#This Row],[Principal]]</f>
        <v>2269831.04</v>
      </c>
      <c r="H76" s="10">
        <f>ROUND('PACE Even Payment Amort'!$C76*$C$6,2)</f>
        <v>2632.29</v>
      </c>
    </row>
    <row r="77" spans="1:8" s="1" customFormat="1" ht="15" x14ac:dyDescent="0.25">
      <c r="A77" s="24">
        <f>A75+1</f>
        <v>45</v>
      </c>
      <c r="B77" s="25">
        <f>EDATE(B75,6)</f>
        <v>54210</v>
      </c>
      <c r="C77" s="26">
        <f>C76</f>
        <v>2632290.2599999998</v>
      </c>
      <c r="D77" s="8">
        <f>ROUND(D76/2,2)</f>
        <v>181229.61</v>
      </c>
      <c r="E77" s="8">
        <f>E76-E78</f>
        <v>100027.03</v>
      </c>
      <c r="F77" s="26">
        <f>Table32[[#This Row],[Principal]]+Table32[[#This Row],[Interest]]</f>
        <v>281256.64</v>
      </c>
      <c r="G77" s="26">
        <f>Table32[[#This Row],[Beginning Balance]]-Table32[[#This Row],[Principal]]</f>
        <v>2451060.65</v>
      </c>
      <c r="H77" s="8">
        <f>ROUND(H76/2,2)</f>
        <v>1316.15</v>
      </c>
    </row>
    <row r="78" spans="1:8" s="1" customFormat="1" ht="15" x14ac:dyDescent="0.25">
      <c r="A78" s="24">
        <f>A77+1</f>
        <v>46</v>
      </c>
      <c r="B78" s="25">
        <f>EDATE(B77,6)</f>
        <v>54393</v>
      </c>
      <c r="C78" s="26">
        <f>G77</f>
        <v>2451060.65</v>
      </c>
      <c r="D78" s="8">
        <f>D76-D77</f>
        <v>181229.61</v>
      </c>
      <c r="E78" s="8">
        <f>ROUND(E76/2,2)</f>
        <v>100027.03</v>
      </c>
      <c r="F78" s="26">
        <f>Table32[[#This Row],[Principal]]+Table32[[#This Row],[Interest]]</f>
        <v>281256.64</v>
      </c>
      <c r="G78" s="26">
        <f>Table32[[#This Row],[Beginning Balance]]-Table32[[#This Row],[Principal]]</f>
        <v>2269831.04</v>
      </c>
      <c r="H78" s="8">
        <f>H76-H77</f>
        <v>1316.1399999999999</v>
      </c>
    </row>
    <row r="79" spans="1:8" s="1" customFormat="1" ht="15" hidden="1" x14ac:dyDescent="0.25">
      <c r="A79" s="27">
        <f>A76+1</f>
        <v>24</v>
      </c>
      <c r="B79" s="28">
        <f>EDATE(B76,12/$C$5)</f>
        <v>54575</v>
      </c>
      <c r="C79" s="29">
        <f t="shared" si="0"/>
        <v>2269831.04</v>
      </c>
      <c r="D79" s="10">
        <f>ROUND(IF(PPMT($C$3/$C$5, Table32[[#This Row],[Payment '#]], $C$4*$C$5, -$C$2)&gt;Table32[[#This Row],[Beginning Balance]],Table32[[#This Row],[Beginning Balance]],PPMT($C$3/$C$5, Table32[[#This Row],[Payment '#]], $C$4*$C$5, -$C$2)),2)</f>
        <v>390006.12</v>
      </c>
      <c r="E79" s="10">
        <f>ROUND(IPMT($C$3/$C$5, Table32[[#This Row],[Payment '#]], $C$4*$C$5, -$C$2),2)</f>
        <v>172507.16</v>
      </c>
      <c r="F79" s="29">
        <f>Table32[[#This Row],[Principal]]+Table32[[#This Row],[Interest]]</f>
        <v>562513.28</v>
      </c>
      <c r="G79" s="29">
        <f>Table32[[#This Row],[Beginning Balance]]-Table32[[#This Row],[Principal]]</f>
        <v>1879824.92</v>
      </c>
      <c r="H79" s="10">
        <f>ROUND('PACE Even Payment Amort'!$C79*$C$6,2)</f>
        <v>2269.83</v>
      </c>
    </row>
    <row r="80" spans="1:8" s="1" customFormat="1" ht="15" x14ac:dyDescent="0.25">
      <c r="A80" s="24">
        <f>A78+1</f>
        <v>47</v>
      </c>
      <c r="B80" s="25">
        <f>EDATE(B78,6)</f>
        <v>54575</v>
      </c>
      <c r="C80" s="26">
        <f>C79</f>
        <v>2269831.04</v>
      </c>
      <c r="D80" s="20">
        <f>ROUND(D79/2,2)</f>
        <v>195003.06</v>
      </c>
      <c r="E80" s="20">
        <f>E79-E81</f>
        <v>86253.58</v>
      </c>
      <c r="F80" s="26">
        <f>Table32[[#This Row],[Principal]]+Table32[[#This Row],[Interest]]</f>
        <v>281256.64</v>
      </c>
      <c r="G80" s="26">
        <f>Table32[[#This Row],[Beginning Balance]]-Table32[[#This Row],[Principal]]</f>
        <v>2074827.98</v>
      </c>
      <c r="H80" s="20">
        <f>ROUND(H79/2,2)</f>
        <v>1134.92</v>
      </c>
    </row>
    <row r="81" spans="1:8" s="1" customFormat="1" ht="15" x14ac:dyDescent="0.25">
      <c r="A81" s="24">
        <f>A80+1</f>
        <v>48</v>
      </c>
      <c r="B81" s="25">
        <f>EDATE(B80,6)</f>
        <v>54758</v>
      </c>
      <c r="C81" s="26">
        <f>G80</f>
        <v>2074827.98</v>
      </c>
      <c r="D81" s="20">
        <f>D79-D80</f>
        <v>195003.06</v>
      </c>
      <c r="E81" s="20">
        <f>ROUND(E79/2,2)</f>
        <v>86253.58</v>
      </c>
      <c r="F81" s="26">
        <f>Table32[[#This Row],[Principal]]+Table32[[#This Row],[Interest]]</f>
        <v>281256.64</v>
      </c>
      <c r="G81" s="26">
        <f>Table32[[#This Row],[Beginning Balance]]-Table32[[#This Row],[Principal]]</f>
        <v>1879824.92</v>
      </c>
      <c r="H81" s="20">
        <f>H79-H80</f>
        <v>1134.9099999999999</v>
      </c>
    </row>
    <row r="82" spans="1:8" s="1" customFormat="1" ht="15" hidden="1" x14ac:dyDescent="0.25">
      <c r="A82" s="27">
        <f>A79+1</f>
        <v>25</v>
      </c>
      <c r="B82" s="28">
        <f>EDATE(B79,12/$C$5)</f>
        <v>54940</v>
      </c>
      <c r="C82" s="29">
        <f t="shared" si="0"/>
        <v>1879824.92</v>
      </c>
      <c r="D82" s="10">
        <f>ROUND(IF(PPMT($C$3/$C$5, Table32[[#This Row],[Payment '#]], $C$4*$C$5, -$C$2)&gt;Table32[[#This Row],[Beginning Balance]],Table32[[#This Row],[Beginning Balance]],PPMT($C$3/$C$5, Table32[[#This Row],[Payment '#]], $C$4*$C$5, -$C$2)),2)</f>
        <v>419646.59</v>
      </c>
      <c r="E82" s="10">
        <f>ROUND(IPMT($C$3/$C$5, Table32[[#This Row],[Payment '#]], $C$4*$C$5, -$C$2),2)</f>
        <v>142866.69</v>
      </c>
      <c r="F82" s="29">
        <f>Table32[[#This Row],[Principal]]+Table32[[#This Row],[Interest]]</f>
        <v>562513.28</v>
      </c>
      <c r="G82" s="29">
        <f>Table32[[#This Row],[Beginning Balance]]-Table32[[#This Row],[Principal]]</f>
        <v>1460178.3299999998</v>
      </c>
      <c r="H82" s="10">
        <f>ROUND('PACE Even Payment Amort'!$C82*$C$6,2)</f>
        <v>1879.82</v>
      </c>
    </row>
    <row r="83" spans="1:8" s="1" customFormat="1" ht="15" x14ac:dyDescent="0.25">
      <c r="A83" s="24">
        <f>A81+1</f>
        <v>49</v>
      </c>
      <c r="B83" s="25">
        <f>EDATE(B81,6)</f>
        <v>54940</v>
      </c>
      <c r="C83" s="26">
        <f>C82</f>
        <v>1879824.92</v>
      </c>
      <c r="D83" s="8">
        <f>ROUND(D82/2,2)</f>
        <v>209823.3</v>
      </c>
      <c r="E83" s="8">
        <f>E82-E84</f>
        <v>71433.34</v>
      </c>
      <c r="F83" s="26">
        <f>Table32[[#This Row],[Principal]]+Table32[[#This Row],[Interest]]</f>
        <v>281256.64</v>
      </c>
      <c r="G83" s="26">
        <f>Table32[[#This Row],[Beginning Balance]]-Table32[[#This Row],[Principal]]</f>
        <v>1670001.6199999999</v>
      </c>
      <c r="H83" s="8">
        <f>ROUND(H82/2,2)</f>
        <v>939.91</v>
      </c>
    </row>
    <row r="84" spans="1:8" s="1" customFormat="1" ht="15" x14ac:dyDescent="0.25">
      <c r="A84" s="24">
        <f>A83+1</f>
        <v>50</v>
      </c>
      <c r="B84" s="25">
        <f>EDATE(B83,6)</f>
        <v>55123</v>
      </c>
      <c r="C84" s="26">
        <f>G83</f>
        <v>1670001.6199999999</v>
      </c>
      <c r="D84" s="8">
        <f>D82-D83</f>
        <v>209823.29000000004</v>
      </c>
      <c r="E84" s="8">
        <f>ROUND(E82/2,2)</f>
        <v>71433.350000000006</v>
      </c>
      <c r="F84" s="26">
        <f>Table32[[#This Row],[Principal]]+Table32[[#This Row],[Interest]]</f>
        <v>281256.64</v>
      </c>
      <c r="G84" s="26">
        <f>Table32[[#This Row],[Beginning Balance]]-Table32[[#This Row],[Principal]]</f>
        <v>1460178.3299999998</v>
      </c>
      <c r="H84" s="8">
        <f>H82-H83</f>
        <v>939.91</v>
      </c>
    </row>
    <row r="85" spans="1:8" s="1" customFormat="1" ht="15" hidden="1" x14ac:dyDescent="0.25">
      <c r="A85" s="27">
        <f>A82+1</f>
        <v>26</v>
      </c>
      <c r="B85" s="28">
        <f>EDATE(B82,12/$C$5)</f>
        <v>55305</v>
      </c>
      <c r="C85" s="29">
        <f t="shared" si="0"/>
        <v>1460178.3299999998</v>
      </c>
      <c r="D85" s="10">
        <f>ROUND(IF(PPMT($C$3/$C$5, Table32[[#This Row],[Payment '#]], $C$4*$C$5, -$C$2)&gt;Table32[[#This Row],[Beginning Balance]],Table32[[#This Row],[Beginning Balance]],PPMT($C$3/$C$5, Table32[[#This Row],[Payment '#]], $C$4*$C$5, -$C$2)),2)</f>
        <v>451539.73</v>
      </c>
      <c r="E85" s="10">
        <f>ROUND(IPMT($C$3/$C$5, Table32[[#This Row],[Payment '#]], $C$4*$C$5, -$C$2),2)</f>
        <v>110973.55</v>
      </c>
      <c r="F85" s="29">
        <f>Table32[[#This Row],[Principal]]+Table32[[#This Row],[Interest]]</f>
        <v>562513.28</v>
      </c>
      <c r="G85" s="29">
        <f>Table32[[#This Row],[Beginning Balance]]-Table32[[#This Row],[Principal]]</f>
        <v>1008638.5999999999</v>
      </c>
      <c r="H85" s="10">
        <f>ROUND('PACE Even Payment Amort'!$C85*$C$6,2)</f>
        <v>1460.18</v>
      </c>
    </row>
    <row r="86" spans="1:8" s="1" customFormat="1" ht="15" x14ac:dyDescent="0.25">
      <c r="A86" s="24">
        <f>A84+1</f>
        <v>51</v>
      </c>
      <c r="B86" s="25">
        <f>EDATE(B84,6)</f>
        <v>55305</v>
      </c>
      <c r="C86" s="26">
        <f>C85</f>
        <v>1460178.3299999998</v>
      </c>
      <c r="D86" s="20">
        <f>ROUND(D85/2,2)</f>
        <v>225769.87</v>
      </c>
      <c r="E86" s="20">
        <f>E85-E87</f>
        <v>55486.770000000004</v>
      </c>
      <c r="F86" s="26">
        <f>Table32[[#This Row],[Principal]]+Table32[[#This Row],[Interest]]</f>
        <v>281256.64</v>
      </c>
      <c r="G86" s="26">
        <f>Table32[[#This Row],[Beginning Balance]]-Table32[[#This Row],[Principal]]</f>
        <v>1234408.46</v>
      </c>
      <c r="H86" s="20">
        <f>ROUND(H85/2,2)</f>
        <v>730.09</v>
      </c>
    </row>
    <row r="87" spans="1:8" s="1" customFormat="1" ht="15" x14ac:dyDescent="0.25">
      <c r="A87" s="24">
        <f>A86+1</f>
        <v>52</v>
      </c>
      <c r="B87" s="25">
        <f>EDATE(B86,6)</f>
        <v>55488</v>
      </c>
      <c r="C87" s="26">
        <f>G86</f>
        <v>1234408.46</v>
      </c>
      <c r="D87" s="20">
        <f>D85-D86</f>
        <v>225769.86</v>
      </c>
      <c r="E87" s="20">
        <f>ROUND(E85/2,2)</f>
        <v>55486.78</v>
      </c>
      <c r="F87" s="26">
        <f>Table32[[#This Row],[Principal]]+Table32[[#This Row],[Interest]]</f>
        <v>281256.64</v>
      </c>
      <c r="G87" s="26">
        <f>Table32[[#This Row],[Beginning Balance]]-Table32[[#This Row],[Principal]]</f>
        <v>1008638.6</v>
      </c>
      <c r="H87" s="20">
        <f>H85-H86</f>
        <v>730.09</v>
      </c>
    </row>
    <row r="88" spans="1:8" s="1" customFormat="1" ht="15" hidden="1" x14ac:dyDescent="0.25">
      <c r="A88" s="27">
        <f>A85+1</f>
        <v>27</v>
      </c>
      <c r="B88" s="28">
        <f>EDATE(B85,12/$C$5)</f>
        <v>55671</v>
      </c>
      <c r="C88" s="29">
        <f t="shared" ref="C88:C97" si="1">G87</f>
        <v>1008638.6</v>
      </c>
      <c r="D88" s="10">
        <f>ROUND(IF(PPMT($C$3/$C$5, Table32[[#This Row],[Payment '#]], $C$4*$C$5, -$C$2)&gt;Table32[[#This Row],[Beginning Balance]],Table32[[#This Row],[Beginning Balance]],PPMT($C$3/$C$5, Table32[[#This Row],[Payment '#]], $C$4*$C$5, -$C$2)),2)</f>
        <v>485856.74</v>
      </c>
      <c r="E88" s="10">
        <f>ROUND(IPMT($C$3/$C$5, Table32[[#This Row],[Payment '#]], $C$4*$C$5, -$C$2),2)</f>
        <v>76656.53</v>
      </c>
      <c r="F88" s="29">
        <f>Table32[[#This Row],[Principal]]+Table32[[#This Row],[Interest]]</f>
        <v>562513.27</v>
      </c>
      <c r="G88" s="29">
        <f>Table32[[#This Row],[Beginning Balance]]-Table32[[#This Row],[Principal]]</f>
        <v>522781.86</v>
      </c>
      <c r="H88" s="10">
        <f>ROUND('PACE Even Payment Amort'!$C88*$C$6,2)</f>
        <v>1008.64</v>
      </c>
    </row>
    <row r="89" spans="1:8" s="1" customFormat="1" ht="15" x14ac:dyDescent="0.25">
      <c r="A89" s="24">
        <f>A87+1</f>
        <v>53</v>
      </c>
      <c r="B89" s="25">
        <f>EDATE(B87,6)</f>
        <v>55671</v>
      </c>
      <c r="C89" s="26">
        <f>C88</f>
        <v>1008638.6</v>
      </c>
      <c r="D89" s="8">
        <f>ROUND(D88/2,2)</f>
        <v>242928.37</v>
      </c>
      <c r="E89" s="8">
        <f>E88-E90</f>
        <v>38328.26</v>
      </c>
      <c r="F89" s="26">
        <f>Table32[[#This Row],[Principal]]+Table32[[#This Row],[Interest]]</f>
        <v>281256.63</v>
      </c>
      <c r="G89" s="26">
        <f>Table32[[#This Row],[Beginning Balance]]-Table32[[#This Row],[Principal]]</f>
        <v>765710.23</v>
      </c>
      <c r="H89" s="8">
        <f>ROUND(H88/2,2)</f>
        <v>504.32</v>
      </c>
    </row>
    <row r="90" spans="1:8" s="1" customFormat="1" ht="15" x14ac:dyDescent="0.25">
      <c r="A90" s="24">
        <f>A89+1</f>
        <v>54</v>
      </c>
      <c r="B90" s="25">
        <f>EDATE(B89,6)</f>
        <v>55854</v>
      </c>
      <c r="C90" s="26">
        <f>G89</f>
        <v>765710.23</v>
      </c>
      <c r="D90" s="8">
        <f>D88-D89</f>
        <v>242928.37</v>
      </c>
      <c r="E90" s="8">
        <f>ROUND(E88/2,2)</f>
        <v>38328.269999999997</v>
      </c>
      <c r="F90" s="26">
        <f>Table32[[#This Row],[Principal]]+Table32[[#This Row],[Interest]]</f>
        <v>281256.64</v>
      </c>
      <c r="G90" s="26">
        <f>Table32[[#This Row],[Beginning Balance]]-Table32[[#This Row],[Principal]]</f>
        <v>522781.86</v>
      </c>
      <c r="H90" s="8">
        <f>H88-H89</f>
        <v>504.32</v>
      </c>
    </row>
    <row r="91" spans="1:8" s="1" customFormat="1" ht="15" hidden="1" x14ac:dyDescent="0.25">
      <c r="A91" s="27">
        <f>A88+1</f>
        <v>28</v>
      </c>
      <c r="B91" s="28">
        <f>EDATE(B88,12/$C$5)</f>
        <v>56036</v>
      </c>
      <c r="C91" s="29">
        <f t="shared" si="1"/>
        <v>522781.86</v>
      </c>
      <c r="D91" s="10">
        <f>ROUND(IF(PPMT($C$3/$C$5, Table32[[#This Row],[Payment '#]], $C$4*$C$5, -$C$2)&gt;Table32[[#This Row],[Beginning Balance]],Table32[[#This Row],[Beginning Balance]],PPMT($C$3/$C$5, Table32[[#This Row],[Payment '#]], $C$4*$C$5, -$C$2)),2)</f>
        <v>522781.86</v>
      </c>
      <c r="E91" s="10">
        <f>ROUND(IPMT($C$3/$C$5, Table32[[#This Row],[Payment '#]], $C$4*$C$5, -$C$2),2)</f>
        <v>39731.42</v>
      </c>
      <c r="F91" s="29">
        <f>Table32[[#This Row],[Principal]]+Table32[[#This Row],[Interest]]</f>
        <v>562513.28</v>
      </c>
      <c r="G91" s="29">
        <f>Table32[[#This Row],[Beginning Balance]]-Table32[[#This Row],[Principal]]</f>
        <v>0</v>
      </c>
      <c r="H91" s="10">
        <f>ROUND('PACE Even Payment Amort'!$C91*$C$6,2)</f>
        <v>522.78</v>
      </c>
    </row>
    <row r="92" spans="1:8" s="1" customFormat="1" ht="15" x14ac:dyDescent="0.25">
      <c r="A92" s="24">
        <f>A90+1</f>
        <v>55</v>
      </c>
      <c r="B92" s="25">
        <f>EDATE(B90,6)</f>
        <v>56036</v>
      </c>
      <c r="C92" s="26">
        <f>C91</f>
        <v>522781.86</v>
      </c>
      <c r="D92" s="20">
        <f>ROUND(D91/2,2)</f>
        <v>261390.93</v>
      </c>
      <c r="E92" s="20">
        <f>E91-E93</f>
        <v>19865.71</v>
      </c>
      <c r="F92" s="26">
        <f>Table32[[#This Row],[Principal]]+Table32[[#This Row],[Interest]]</f>
        <v>281256.64</v>
      </c>
      <c r="G92" s="26">
        <f>Table32[[#This Row],[Beginning Balance]]-Table32[[#This Row],[Principal]]</f>
        <v>261390.93</v>
      </c>
      <c r="H92" s="20">
        <f>ROUND(H91/2,2)</f>
        <v>261.39</v>
      </c>
    </row>
    <row r="93" spans="1:8" s="1" customFormat="1" ht="15" x14ac:dyDescent="0.25">
      <c r="A93" s="24">
        <f>A92+1</f>
        <v>56</v>
      </c>
      <c r="B93" s="25">
        <f>EDATE(B92,6)</f>
        <v>56219</v>
      </c>
      <c r="C93" s="26">
        <f>G92</f>
        <v>261390.93</v>
      </c>
      <c r="D93" s="20">
        <f>D91-D92</f>
        <v>261390.93</v>
      </c>
      <c r="E93" s="20">
        <f>ROUND(E91/2,2)</f>
        <v>19865.71</v>
      </c>
      <c r="F93" s="26">
        <f>Table32[[#This Row],[Principal]]+Table32[[#This Row],[Interest]]</f>
        <v>281256.64</v>
      </c>
      <c r="G93" s="26">
        <f>Table32[[#This Row],[Beginning Balance]]-Table32[[#This Row],[Principal]]</f>
        <v>0</v>
      </c>
      <c r="H93" s="20">
        <f>H91-H92</f>
        <v>261.39</v>
      </c>
    </row>
    <row r="94" spans="1:8" s="1" customFormat="1" ht="15" hidden="1" x14ac:dyDescent="0.25">
      <c r="A94" s="27">
        <f>A91+1</f>
        <v>29</v>
      </c>
      <c r="B94" s="28">
        <f>EDATE(B91,12/$C$5)</f>
        <v>56401</v>
      </c>
      <c r="C94" s="29">
        <f t="shared" si="1"/>
        <v>0</v>
      </c>
      <c r="D94" s="10" t="e">
        <f>ROUND(IF(PPMT($C$3/$C$5, Table32[[#This Row],[Payment '#]], $C$4*$C$5, -$C$2)&gt;Table32[[#This Row],[Beginning Balance]],Table32[[#This Row],[Beginning Balance]],PPMT($C$3/$C$5, Table32[[#This Row],[Payment '#]], $C$4*$C$5, -$C$2)),2)</f>
        <v>#NUM!</v>
      </c>
      <c r="E94" s="10" t="e">
        <f>ROUND(IPMT($C$3/$C$5, Table32[[#This Row],[Payment '#]], $C$4*$C$5, -$C$2),2)</f>
        <v>#NUM!</v>
      </c>
      <c r="F94" s="29" t="e">
        <f>Table32[[#This Row],[Principal]]+Table32[[#This Row],[Interest]]</f>
        <v>#NUM!</v>
      </c>
      <c r="G94" s="29" t="e">
        <f>Table32[[#This Row],[Beginning Balance]]-Table32[[#This Row],[Principal]]</f>
        <v>#NUM!</v>
      </c>
      <c r="H94" s="10">
        <f>ROUND('PACE Even Payment Amort'!$C94*$C$6,2)</f>
        <v>0</v>
      </c>
    </row>
    <row r="95" spans="1:8" s="1" customFormat="1" ht="15" x14ac:dyDescent="0.25">
      <c r="A95" s="24">
        <f>A93+1</f>
        <v>57</v>
      </c>
      <c r="B95" s="25">
        <f>EDATE(B93,6)</f>
        <v>56401</v>
      </c>
      <c r="C95" s="26">
        <f>C94</f>
        <v>0</v>
      </c>
      <c r="D95" s="8" t="e">
        <f>ROUND(D94/2,2)</f>
        <v>#NUM!</v>
      </c>
      <c r="E95" s="8" t="e">
        <f>E94-E96</f>
        <v>#NUM!</v>
      </c>
      <c r="F95" s="26" t="e">
        <f>Table32[[#This Row],[Principal]]+Table32[[#This Row],[Interest]]</f>
        <v>#NUM!</v>
      </c>
      <c r="G95" s="26" t="e">
        <f>Table32[[#This Row],[Beginning Balance]]-Table32[[#This Row],[Principal]]</f>
        <v>#NUM!</v>
      </c>
      <c r="H95" s="8">
        <f>ROUND(H94/2,2)</f>
        <v>0</v>
      </c>
    </row>
    <row r="96" spans="1:8" s="1" customFormat="1" ht="15" x14ac:dyDescent="0.25">
      <c r="A96" s="24">
        <f>A95+1</f>
        <v>58</v>
      </c>
      <c r="B96" s="25">
        <f>EDATE(B95,6)</f>
        <v>56584</v>
      </c>
      <c r="C96" s="26" t="e">
        <f>G95</f>
        <v>#NUM!</v>
      </c>
      <c r="D96" s="8" t="e">
        <f>D94-D95</f>
        <v>#NUM!</v>
      </c>
      <c r="E96" s="8" t="e">
        <f>ROUND(E94/2,2)</f>
        <v>#NUM!</v>
      </c>
      <c r="F96" s="26" t="e">
        <f>Table32[[#This Row],[Principal]]+Table32[[#This Row],[Interest]]</f>
        <v>#NUM!</v>
      </c>
      <c r="G96" s="26" t="e">
        <f>Table32[[#This Row],[Beginning Balance]]-Table32[[#This Row],[Principal]]</f>
        <v>#NUM!</v>
      </c>
      <c r="H96" s="8">
        <f>H94-H95</f>
        <v>0</v>
      </c>
    </row>
    <row r="97" spans="1:8" s="1" customFormat="1" ht="15" hidden="1" x14ac:dyDescent="0.25">
      <c r="A97" s="27">
        <f>A94+1</f>
        <v>30</v>
      </c>
      <c r="B97" s="28">
        <f>EDATE(B94,12/$C$5)</f>
        <v>56766</v>
      </c>
      <c r="C97" s="29" t="e">
        <f t="shared" si="1"/>
        <v>#NUM!</v>
      </c>
      <c r="D97" s="10" t="e">
        <f>ROUND(IF(PPMT($C$3/$C$5, Table32[[#This Row],[Payment '#]], $C$4*$C$5, -$C$2)&gt;Table32[[#This Row],[Beginning Balance]],Table32[[#This Row],[Beginning Balance]],PPMT($C$3/$C$5, Table32[[#This Row],[Payment '#]], $C$4*$C$5, -$C$2)),2)</f>
        <v>#NUM!</v>
      </c>
      <c r="E97" s="10" t="e">
        <f>ROUND(IPMT($C$3/$C$5, Table32[[#This Row],[Payment '#]], $C$4*$C$5, -$C$2),2)</f>
        <v>#NUM!</v>
      </c>
      <c r="F97" s="29" t="e">
        <f>Table32[[#This Row],[Principal]]+Table32[[#This Row],[Interest]]</f>
        <v>#NUM!</v>
      </c>
      <c r="G97" s="29" t="e">
        <f>Table32[[#This Row],[Beginning Balance]]-Table32[[#This Row],[Principal]]</f>
        <v>#NUM!</v>
      </c>
      <c r="H97" s="10" t="e">
        <f>ROUND('PACE Even Payment Amort'!$C97*$C$6,2)</f>
        <v>#NUM!</v>
      </c>
    </row>
    <row r="98" spans="1:8" s="1" customFormat="1" ht="15" x14ac:dyDescent="0.25">
      <c r="A98" s="24">
        <f>A96+1</f>
        <v>59</v>
      </c>
      <c r="B98" s="25">
        <f>EDATE(B96,6)</f>
        <v>56766</v>
      </c>
      <c r="C98" s="26" t="e">
        <f>C97</f>
        <v>#NUM!</v>
      </c>
      <c r="D98" s="20" t="e">
        <f>ROUND(D97/2,2)</f>
        <v>#NUM!</v>
      </c>
      <c r="E98" s="20" t="e">
        <f>E97-E99</f>
        <v>#NUM!</v>
      </c>
      <c r="F98" s="26" t="e">
        <f>Table32[[#This Row],[Principal]]+Table32[[#This Row],[Interest]]</f>
        <v>#NUM!</v>
      </c>
      <c r="G98" s="26" t="e">
        <f>Table32[[#This Row],[Beginning Balance]]-Table32[[#This Row],[Principal]]</f>
        <v>#NUM!</v>
      </c>
      <c r="H98" s="20" t="e">
        <f>ROUND(H97/2,2)</f>
        <v>#NUM!</v>
      </c>
    </row>
    <row r="99" spans="1:8" s="1" customFormat="1" ht="15" x14ac:dyDescent="0.25">
      <c r="A99" s="24">
        <f>A98+1</f>
        <v>60</v>
      </c>
      <c r="B99" s="25">
        <f>EDATE(B98,6)</f>
        <v>56949</v>
      </c>
      <c r="C99" s="26" t="e">
        <f>G98</f>
        <v>#NUM!</v>
      </c>
      <c r="D99" s="20" t="e">
        <f>D97-D98</f>
        <v>#NUM!</v>
      </c>
      <c r="E99" s="20" t="e">
        <f>ROUND(E97/2,2)</f>
        <v>#NUM!</v>
      </c>
      <c r="F99" s="26" t="e">
        <f>Table32[[#This Row],[Principal]]+Table32[[#This Row],[Interest]]</f>
        <v>#NUM!</v>
      </c>
      <c r="G99" s="26" t="e">
        <f>Table32[[#This Row],[Beginning Balance]]-Table32[[#This Row],[Principal]]</f>
        <v>#NUM!</v>
      </c>
      <c r="H99" s="20" t="e">
        <f>H97-H98</f>
        <v>#NUM!</v>
      </c>
    </row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</sheetData>
  <sheetProtection sheet="1" objects="1" scenarios="1"/>
  <mergeCells count="6">
    <mergeCell ref="A7:B7"/>
    <mergeCell ref="A2:B2"/>
    <mergeCell ref="A3:B3"/>
    <mergeCell ref="A4:B4"/>
    <mergeCell ref="A5:B5"/>
    <mergeCell ref="A6:B6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e20d82-c299-4a1d-858e-46319e48d45a" xsi:nil="true"/>
    <lcf76f155ced4ddcb4097134ff3c332f xmlns="36f222cb-cf06-45f3-9869-be072840ea7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B9081B0BF6B74CBC2033CB4EB969F2" ma:contentTypeVersion="13" ma:contentTypeDescription="Create a new document." ma:contentTypeScope="" ma:versionID="3d03b7628e12066bfdd76a7cd8aa2176">
  <xsd:schema xmlns:xsd="http://www.w3.org/2001/XMLSchema" xmlns:xs="http://www.w3.org/2001/XMLSchema" xmlns:p="http://schemas.microsoft.com/office/2006/metadata/properties" xmlns:ns2="36f222cb-cf06-45f3-9869-be072840ea71" xmlns:ns3="25e20d82-c299-4a1d-858e-46319e48d45a" targetNamespace="http://schemas.microsoft.com/office/2006/metadata/properties" ma:root="true" ma:fieldsID="021197820e4e55a4fc1e33c5d822e103" ns2:_="" ns3:_="">
    <xsd:import namespace="36f222cb-cf06-45f3-9869-be072840ea71"/>
    <xsd:import namespace="25e20d82-c299-4a1d-858e-46319e48d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222cb-cf06-45f3-9869-be072840e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bc5eb48-aa48-4910-b9c5-8d5449170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e20d82-c299-4a1d-858e-46319e48d4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e1e3f3c-4322-4aa1-9bf5-63a72186306b}" ma:internalName="TaxCatchAll" ma:showField="CatchAllData" ma:web="20f6c744-94d0-4f22-bb28-07264bcf02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F534AF-0C31-411B-A4ED-2608C3488489}">
  <ds:schemaRefs>
    <ds:schemaRef ds:uri="http://schemas.microsoft.com/office/2006/metadata/properties"/>
    <ds:schemaRef ds:uri="http://schemas.microsoft.com/office/infopath/2007/PartnerControls"/>
    <ds:schemaRef ds:uri="25e20d82-c299-4a1d-858e-46319e48d45a"/>
    <ds:schemaRef ds:uri="36f222cb-cf06-45f3-9869-be072840ea71"/>
  </ds:schemaRefs>
</ds:datastoreItem>
</file>

<file path=customXml/itemProps2.xml><?xml version="1.0" encoding="utf-8"?>
<ds:datastoreItem xmlns:ds="http://schemas.openxmlformats.org/officeDocument/2006/customXml" ds:itemID="{A2B2E612-0DDF-46D6-A969-419738109A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89C7D8-9D32-47B0-9D57-F29904A879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f222cb-cf06-45f3-9869-be072840ea71"/>
    <ds:schemaRef ds:uri="25e20d82-c299-4a1d-858e-46319e48d4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PACE Even Payment Amort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Holly Huston</dc:creator>
  <cp:keywords/>
  <dc:description/>
  <cp:lastModifiedBy>Holly Huston</cp:lastModifiedBy>
  <cp:revision/>
  <dcterms:created xsi:type="dcterms:W3CDTF">2023-04-03T18:29:45Z</dcterms:created>
  <dcterms:modified xsi:type="dcterms:W3CDTF">2025-09-29T17:42:52Z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  <property fmtid="{D5CDD505-2E9C-101B-9397-08002B2CF9AE}" pid="3" name="ContentTypeId">
    <vt:lpwstr>0x0101000CB9081B0BF6B74CBC2033CB4EB969F2</vt:lpwstr>
  </property>
  <property fmtid="{D5CDD505-2E9C-101B-9397-08002B2CF9AE}" pid="4" name="MediaServiceImageTags">
    <vt:lpwstr/>
  </property>
</Properties>
</file>